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主要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<sst xmlns="http://schemas.openxmlformats.org/spreadsheetml/2006/main" count="438" uniqueCount="135">
  <si>
    <t>主要死因別死亡者数</t>
  </si>
  <si>
    <t>　死亡者総数</t>
  </si>
  <si>
    <t>悪性
新生物</t>
  </si>
  <si>
    <t>心疾患（高血圧性を除く）</t>
  </si>
  <si>
    <t>高血圧
性疾患</t>
  </si>
  <si>
    <t>脳血管
疾患</t>
  </si>
  <si>
    <t>慢性閉塞
性肺疾患</t>
  </si>
  <si>
    <t>老衰</t>
  </si>
  <si>
    <t>不慮の
事故</t>
  </si>
  <si>
    <t>その他</t>
  </si>
  <si>
    <t>実数</t>
  </si>
  <si>
    <t>死亡率
(人口10万人対)</t>
  </si>
  <si>
    <t>感染症及び寄生虫症</t>
  </si>
  <si>
    <t>新生物</t>
  </si>
  <si>
    <t>内分泌、栄養及び代謝疾患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</si>
  <si>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</si>
  <si>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</si>
  <si>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</si>
  <si>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</si>
  <si>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</si>
  <si>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</si>
  <si>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筋骨格系・結合組織の疾患</t>
  </si>
  <si>
    <t>先天奇形及び染色体異常</t>
  </si>
  <si>
    <t>症状、徴候及び異常臨床所見で他に分類されないもの</t>
  </si>
  <si>
    <t>　死亡者総数に対する割合</t>
  </si>
  <si>
    <t>悪性新生物</t>
  </si>
  <si>
    <t>その他の新生物</t>
  </si>
  <si>
    <t>口唇、口腔及び咽頭</t>
  </si>
  <si>
    <t>食道の悪性新生物</t>
  </si>
  <si>
    <t>胃の悪性新生物</t>
  </si>
  <si>
    <t>結腸の悪性新生物</t>
  </si>
  <si>
    <t>直腸Ｓ状結腸移行部</t>
  </si>
  <si>
    <t>肝及び肝内胆管</t>
  </si>
  <si>
    <t>胆のう及び他の胆道</t>
  </si>
  <si>
    <t>膵の悪性新生物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</si>
  <si>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</si>
  <si>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</si>
  <si>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</si>
  <si>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</si>
  <si>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</si>
  <si>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</si>
  <si>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</si>
  <si>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</si>
  <si>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悪性リンパ腫</t>
  </si>
  <si>
    <t>白血病</t>
  </si>
  <si>
    <t>その他のリンパ組織</t>
  </si>
  <si>
    <t>その他の悪性新生物</t>
  </si>
  <si>
    <t>南砺市で死亡割合の高い新生物の細分類　富山県との比較</t>
  </si>
  <si>
    <t>悪性新生物の細分類　富山県との比較</t>
  </si>
  <si>
    <t>　新生物総数に対する割合</t>
  </si>
  <si>
    <t>　悪性新生物総数に対する割合</t>
  </si>
  <si>
    <t>南砺市で死亡割合の高い循環器系の疾患の細分類　富山県との比較</t>
  </si>
  <si>
    <t>高血圧性疾患</t>
  </si>
  <si>
    <t>心疾患</t>
  </si>
  <si>
    <t>脳血管疾患</t>
  </si>
  <si>
    <t>大動脈瘤及び解離</t>
  </si>
  <si>
    <t>その他の循環器系の疾患</t>
  </si>
  <si>
    <t>　循環器系疾患に対する割合</t>
  </si>
  <si>
    <t>心疾患の細分類　富山県との比較</t>
  </si>
  <si>
    <t>　心疾患に対する割合</t>
  </si>
  <si>
    <t>慢性リウマチ性心疾</t>
  </si>
  <si>
    <t>急性心筋梗塞</t>
  </si>
  <si>
    <t>その他の虚血性心疾</t>
  </si>
  <si>
    <t>慢性非リウマチ性心</t>
  </si>
  <si>
    <t>心筋症</t>
  </si>
  <si>
    <t>不整脈及び伝道障害</t>
  </si>
  <si>
    <t>心不全</t>
  </si>
  <si>
    <t>その他の心疾患</t>
  </si>
  <si>
    <t>脳血管疾患の細分類　富山県との比較</t>
  </si>
  <si>
    <t>くも膜下出血</t>
  </si>
  <si>
    <t>脳梗塞</t>
  </si>
  <si>
    <t>その他の脳血管疾患</t>
  </si>
  <si>
    <t>全ての死因分類　富山県との比較</t>
  </si>
  <si>
    <t>自殺</t>
  </si>
  <si>
    <t>死亡率（人口10万対）</t>
  </si>
  <si>
    <t>人口</t>
  </si>
  <si>
    <t>腎尿路性器系の疾患</t>
  </si>
  <si>
    <t>　循環器系疾患に対する割合</t>
  </si>
  <si>
    <t>　心疾患に対する割合</t>
  </si>
  <si>
    <t>脳内出血</t>
  </si>
  <si>
    <t>　脳血管疾患に対する割合</t>
  </si>
  <si>
    <t>周産期に発生した病態</t>
  </si>
  <si>
    <t>平成２０年</t>
  </si>
  <si>
    <t>平成２１年</t>
  </si>
  <si>
    <t>Ｈ２０</t>
  </si>
  <si>
    <t>Ｈ２１</t>
  </si>
  <si>
    <t>南砺市</t>
  </si>
  <si>
    <t>富山県</t>
  </si>
  <si>
    <t>資料：保健統計年報　富山県厚生部(各年1月1日～12月31日）　、各年の人口動態統計(富山県厚生部医務課発行)より</t>
  </si>
  <si>
    <t>傷病及び死亡の外因</t>
  </si>
  <si>
    <t>（人）</t>
  </si>
  <si>
    <t>（人、％）</t>
  </si>
  <si>
    <t>年次</t>
  </si>
  <si>
    <t>（人、％）</t>
  </si>
  <si>
    <t>　　　　　年次</t>
  </si>
  <si>
    <t>　　　　　死因</t>
  </si>
  <si>
    <t>　　　　死因</t>
  </si>
  <si>
    <t>　　　　　　　　死因</t>
  </si>
  <si>
    <t>　　　　　　死因</t>
  </si>
  <si>
    <t>　　　死因</t>
  </si>
  <si>
    <t>　　　　　　　死因</t>
  </si>
  <si>
    <t>　　　　年次</t>
  </si>
  <si>
    <t>Ｈ２２</t>
  </si>
  <si>
    <t>Ｈ２３</t>
  </si>
  <si>
    <t>Ｈ２２</t>
  </si>
  <si>
    <t>Ｈ２３</t>
  </si>
  <si>
    <t>Ｈ２３</t>
  </si>
  <si>
    <t>Ｈ２２</t>
  </si>
  <si>
    <t>Ｈ２３</t>
  </si>
  <si>
    <t>Ｈ２２</t>
  </si>
  <si>
    <t>Ｈ２３</t>
  </si>
  <si>
    <t>平成２２年</t>
  </si>
  <si>
    <t>肺炎</t>
  </si>
  <si>
    <t>血液及び造血器の疾患</t>
  </si>
  <si>
    <t>心疾患(高血圧性を除く）</t>
  </si>
  <si>
    <t>平成２３年</t>
  </si>
  <si>
    <t>耳及び乳様突起の疾患</t>
  </si>
  <si>
    <t>人口：１０月１日現在の日本人人口。ただし、国勢調査実施年は国勢調査人口。</t>
  </si>
  <si>
    <t>注：　死亡率算出の基礎人口は、国勢調査結果及び総務省統計局推計による日本人人口を用いた。</t>
  </si>
  <si>
    <t>平成２４年</t>
  </si>
  <si>
    <t>Ｈ２４</t>
  </si>
  <si>
    <t>喉頭の悪性新生物</t>
  </si>
  <si>
    <t>平成２５年</t>
  </si>
  <si>
    <t>平成２６年</t>
  </si>
  <si>
    <t>Ｈ２５</t>
  </si>
  <si>
    <t>Ｈ２６</t>
  </si>
  <si>
    <t>Ｈ２４</t>
  </si>
  <si>
    <t>Ｈ２５</t>
  </si>
  <si>
    <t>Ｈ２６</t>
  </si>
  <si>
    <t>平成２７年</t>
  </si>
  <si>
    <t>Ｈ２７</t>
  </si>
  <si>
    <t>妊娠、分娩及び産じょく</t>
  </si>
  <si>
    <t>Ｈ２８</t>
  </si>
  <si>
    <t>平成２８年</t>
  </si>
  <si>
    <t>＊市と県の人口は、厚生労働省ＨＰ「H28（2016）人口動態の概況諸率算出に用いた人口」。保健統計年報は毎年１２月発刊されるため、推定値。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</si>
</sst>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0.0_ "/>
    <numFmt numFmtId="180" formatCode="0_ "/>
    <numFmt numFmtId="181" formatCode="#,##0.0;[Red]\-#,##0.0"/>
    <numFmt numFmtId="182" formatCode="0.00_ "/>
    <numFmt numFmtId="183" formatCode="[&lt;=999]000;[&lt;=9999]000\-00;000\-0000"/>
    <numFmt numFmtId="184" formatCode="0.00000%"/>
    <numFmt numFmtId="185" formatCode="0.00000_ "/>
    <numFmt numFmtId="186" formatCode="0.0000_ "/>
    <numFmt numFmtId="187" formatCode="0.000_ "/>
    <numFmt numFmtId="188" formatCode="0;_"/>
    <numFmt numFmtId="189" formatCode="0;_က"/>
    <numFmt numFmtId="190" formatCode="0_);[Red]\(0\)"/>
    <numFmt numFmtId="191" formatCode="#,##0.00_ "/>
    <numFmt numFmtId="192" formatCode="0.00000"/>
    <numFmt numFmtId="193" formatCode="0.0000"/>
    <numFmt numFmtId="194" formatCode="0.000"/>
    <numFmt numFmtId="195" formatCode="0.0"/>
    <numFmt numFmtId="196" formatCode="#,##0.000_ "/>
    <numFmt numFmtId="197" formatCode="#,##0.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i/>
      <sz val="11"/>
      <name val="ＭＳ Ｐ明朝"/>
      <family val="1"/>
    </font>
    <font>
      <i/>
      <sz val="10.5"/>
      <name val="ＭＳ Ｐ明朝"/>
      <family val="1"/>
    </font>
    <font>
      <i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ashed"/>
      <bottom style="hair"/>
    </border>
    <border>
      <left style="thin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dashed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178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176" fontId="3" fillId="0" borderId="0" xfId="0" applyNumberFormat="1" applyFont="1" applyFill="1" applyAlignment="1">
      <alignment vertical="center"/>
    </xf>
    <xf numFmtId="178" fontId="3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80" fontId="3" fillId="0" borderId="14" xfId="0" applyNumberFormat="1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/>
    </xf>
    <xf numFmtId="178" fontId="2" fillId="0" borderId="25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25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0" fontId="2" fillId="0" borderId="12" xfId="0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/>
    </xf>
    <xf numFmtId="176" fontId="2" fillId="0" borderId="36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vertical="center"/>
    </xf>
    <xf numFmtId="178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/>
    </xf>
    <xf numFmtId="178" fontId="2" fillId="0" borderId="40" xfId="0" applyNumberFormat="1" applyFont="1" applyFill="1" applyBorder="1" applyAlignment="1">
      <alignment/>
    </xf>
    <xf numFmtId="176" fontId="3" fillId="0" borderId="41" xfId="0" applyNumberFormat="1" applyFont="1" applyFill="1" applyBorder="1" applyAlignment="1">
      <alignment/>
    </xf>
    <xf numFmtId="178" fontId="3" fillId="0" borderId="40" xfId="0" applyNumberFormat="1" applyFont="1" applyFill="1" applyBorder="1" applyAlignment="1">
      <alignment/>
    </xf>
    <xf numFmtId="178" fontId="3" fillId="0" borderId="42" xfId="0" applyNumberFormat="1" applyFont="1" applyFill="1" applyBorder="1" applyAlignment="1">
      <alignment/>
    </xf>
    <xf numFmtId="176" fontId="2" fillId="0" borderId="43" xfId="0" applyNumberFormat="1" applyFont="1" applyFill="1" applyBorder="1" applyAlignment="1">
      <alignment/>
    </xf>
    <xf numFmtId="178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190" fontId="3" fillId="0" borderId="46" xfId="0" applyNumberFormat="1" applyFont="1" applyFill="1" applyBorder="1" applyAlignment="1">
      <alignment vertical="center"/>
    </xf>
    <xf numFmtId="190" fontId="3" fillId="0" borderId="47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6" fontId="49" fillId="0" borderId="0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179" fontId="2" fillId="0" borderId="53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79" fontId="3" fillId="0" borderId="55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57" xfId="0" applyNumberFormat="1" applyFont="1" applyFill="1" applyBorder="1" applyAlignment="1">
      <alignment/>
    </xf>
    <xf numFmtId="178" fontId="2" fillId="0" borderId="58" xfId="0" applyNumberFormat="1" applyFont="1" applyFill="1" applyBorder="1" applyAlignment="1">
      <alignment/>
    </xf>
    <xf numFmtId="176" fontId="2" fillId="0" borderId="59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50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8" fontId="3" fillId="0" borderId="62" xfId="0" applyNumberFormat="1" applyFont="1" applyFill="1" applyBorder="1" applyAlignment="1">
      <alignment/>
    </xf>
    <xf numFmtId="178" fontId="2" fillId="0" borderId="63" xfId="0" applyNumberFormat="1" applyFont="1" applyFill="1" applyBorder="1" applyAlignment="1">
      <alignment/>
    </xf>
    <xf numFmtId="176" fontId="2" fillId="0" borderId="64" xfId="0" applyNumberFormat="1" applyFont="1" applyFill="1" applyBorder="1" applyAlignment="1">
      <alignment/>
    </xf>
    <xf numFmtId="178" fontId="2" fillId="0" borderId="65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78" fontId="3" fillId="0" borderId="66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178" fontId="3" fillId="0" borderId="67" xfId="0" applyNumberFormat="1" applyFont="1" applyFill="1" applyBorder="1" applyAlignment="1">
      <alignment/>
    </xf>
    <xf numFmtId="176" fontId="2" fillId="0" borderId="68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176" fontId="2" fillId="0" borderId="69" xfId="0" applyNumberFormat="1" applyFont="1" applyFill="1" applyBorder="1" applyAlignment="1">
      <alignment/>
    </xf>
    <xf numFmtId="176" fontId="3" fillId="0" borderId="70" xfId="0" applyNumberFormat="1" applyFont="1" applyFill="1" applyBorder="1" applyAlignment="1">
      <alignment/>
    </xf>
    <xf numFmtId="178" fontId="2" fillId="0" borderId="66" xfId="0" applyNumberFormat="1" applyFont="1" applyFill="1" applyBorder="1" applyAlignment="1">
      <alignment/>
    </xf>
    <xf numFmtId="176" fontId="3" fillId="0" borderId="71" xfId="0" applyNumberFormat="1" applyFont="1" applyFill="1" applyBorder="1" applyAlignment="1">
      <alignment/>
    </xf>
    <xf numFmtId="178" fontId="3" fillId="0" borderId="72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6" fontId="2" fillId="0" borderId="7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74" xfId="0" applyNumberFormat="1" applyFont="1" applyFill="1" applyBorder="1" applyAlignment="1">
      <alignment/>
    </xf>
    <xf numFmtId="176" fontId="3" fillId="0" borderId="75" xfId="0" applyNumberFormat="1" applyFont="1" applyFill="1" applyBorder="1" applyAlignment="1">
      <alignment/>
    </xf>
    <xf numFmtId="178" fontId="3" fillId="0" borderId="76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/>
    </xf>
    <xf numFmtId="176" fontId="2" fillId="0" borderId="34" xfId="0" applyNumberFormat="1" applyFont="1" applyFill="1" applyBorder="1" applyAlignment="1">
      <alignment/>
    </xf>
    <xf numFmtId="176" fontId="2" fillId="0" borderId="75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180" fontId="2" fillId="0" borderId="77" xfId="0" applyNumberFormat="1" applyFont="1" applyFill="1" applyBorder="1" applyAlignment="1">
      <alignment vertical="center"/>
    </xf>
    <xf numFmtId="38" fontId="2" fillId="0" borderId="78" xfId="48" applyFont="1" applyFill="1" applyBorder="1" applyAlignment="1">
      <alignment vertical="center"/>
    </xf>
    <xf numFmtId="179" fontId="2" fillId="0" borderId="79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190" fontId="3" fillId="0" borderId="82" xfId="0" applyNumberFormat="1" applyFont="1" applyFill="1" applyBorder="1" applyAlignment="1">
      <alignment vertical="center"/>
    </xf>
    <xf numFmtId="38" fontId="3" fillId="0" borderId="83" xfId="48" applyFont="1" applyFill="1" applyBorder="1" applyAlignment="1">
      <alignment vertical="center"/>
    </xf>
    <xf numFmtId="190" fontId="3" fillId="0" borderId="74" xfId="0" applyNumberFormat="1" applyFont="1" applyFill="1" applyBorder="1" applyAlignment="1">
      <alignment vertical="center"/>
    </xf>
    <xf numFmtId="190" fontId="3" fillId="0" borderId="8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left"/>
    </xf>
    <xf numFmtId="0" fontId="3" fillId="0" borderId="9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79" fontId="3" fillId="0" borderId="62" xfId="0" applyNumberFormat="1" applyFont="1" applyFill="1" applyBorder="1" applyAlignment="1">
      <alignment vertical="center"/>
    </xf>
    <xf numFmtId="38" fontId="29" fillId="0" borderId="78" xfId="48" applyFont="1" applyFill="1" applyBorder="1" applyAlignment="1">
      <alignment vertical="center"/>
    </xf>
    <xf numFmtId="179" fontId="29" fillId="0" borderId="79" xfId="0" applyNumberFormat="1" applyFont="1" applyFill="1" applyBorder="1" applyAlignment="1">
      <alignment vertical="center"/>
    </xf>
    <xf numFmtId="38" fontId="30" fillId="0" borderId="18" xfId="48" applyFont="1" applyFill="1" applyBorder="1" applyAlignment="1">
      <alignment vertical="center"/>
    </xf>
    <xf numFmtId="179" fontId="31" fillId="0" borderId="55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190" fontId="3" fillId="33" borderId="62" xfId="0" applyNumberFormat="1" applyFont="1" applyFill="1" applyBorder="1" applyAlignment="1">
      <alignment vertical="center"/>
    </xf>
    <xf numFmtId="38" fontId="3" fillId="33" borderId="107" xfId="48" applyFont="1" applyFill="1" applyBorder="1" applyAlignment="1">
      <alignment vertical="center"/>
    </xf>
    <xf numFmtId="190" fontId="3" fillId="33" borderId="32" xfId="0" applyNumberFormat="1" applyFont="1" applyFill="1" applyBorder="1" applyAlignment="1">
      <alignment vertical="center"/>
    </xf>
    <xf numFmtId="190" fontId="3" fillId="33" borderId="10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457200</xdr:rowOff>
    </xdr:to>
    <xdr:sp>
      <xdr:nvSpPr>
        <xdr:cNvPr id="1" name="直線コネクタ 2"/>
        <xdr:cNvSpPr>
          <a:spLocks/>
        </xdr:cNvSpPr>
      </xdr:nvSpPr>
      <xdr:spPr>
        <a:xfrm>
          <a:off x="9525" y="295275"/>
          <a:ext cx="2333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28575</xdr:rowOff>
    </xdr:from>
    <xdr:to>
      <xdr:col>2</xdr:col>
      <xdr:colOff>9525</xdr:colOff>
      <xdr:row>19</xdr:row>
      <xdr:rowOff>238125</xdr:rowOff>
    </xdr:to>
    <xdr:sp>
      <xdr:nvSpPr>
        <xdr:cNvPr id="2" name="直線コネクタ 7"/>
        <xdr:cNvSpPr>
          <a:spLocks/>
        </xdr:cNvSpPr>
      </xdr:nvSpPr>
      <xdr:spPr>
        <a:xfrm>
          <a:off x="28575" y="3857625"/>
          <a:ext cx="23241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19050</xdr:rowOff>
    </xdr:from>
    <xdr:to>
      <xdr:col>2</xdr:col>
      <xdr:colOff>0</xdr:colOff>
      <xdr:row>61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19050" y="13611225"/>
          <a:ext cx="23241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117</xdr:row>
      <xdr:rowOff>9525</xdr:rowOff>
    </xdr:from>
    <xdr:to>
      <xdr:col>2</xdr:col>
      <xdr:colOff>9525</xdr:colOff>
      <xdr:row>120</xdr:row>
      <xdr:rowOff>171450</xdr:rowOff>
    </xdr:to>
    <xdr:sp>
      <xdr:nvSpPr>
        <xdr:cNvPr id="4" name="直線コネクタ 11"/>
        <xdr:cNvSpPr>
          <a:spLocks/>
        </xdr:cNvSpPr>
      </xdr:nvSpPr>
      <xdr:spPr>
        <a:xfrm>
          <a:off x="9525" y="26479500"/>
          <a:ext cx="2343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0</xdr:rowOff>
    </xdr:from>
    <xdr:to>
      <xdr:col>2</xdr:col>
      <xdr:colOff>9525</xdr:colOff>
      <xdr:row>162</xdr:row>
      <xdr:rowOff>238125</xdr:rowOff>
    </xdr:to>
    <xdr:sp>
      <xdr:nvSpPr>
        <xdr:cNvPr id="5" name="直線コネクタ 13"/>
        <xdr:cNvSpPr>
          <a:spLocks/>
        </xdr:cNvSpPr>
      </xdr:nvSpPr>
      <xdr:spPr>
        <a:xfrm>
          <a:off x="9525" y="36509325"/>
          <a:ext cx="23431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215</xdr:row>
      <xdr:rowOff>19050</xdr:rowOff>
    </xdr:from>
    <xdr:to>
      <xdr:col>1</xdr:col>
      <xdr:colOff>1885950</xdr:colOff>
      <xdr:row>218</xdr:row>
      <xdr:rowOff>0</xdr:rowOff>
    </xdr:to>
    <xdr:sp>
      <xdr:nvSpPr>
        <xdr:cNvPr id="6" name="直線コネクタ 15"/>
        <xdr:cNvSpPr>
          <a:spLocks/>
        </xdr:cNvSpPr>
      </xdr:nvSpPr>
      <xdr:spPr>
        <a:xfrm>
          <a:off x="28575" y="48691800"/>
          <a:ext cx="2219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256</xdr:row>
      <xdr:rowOff>0</xdr:rowOff>
    </xdr:from>
    <xdr:to>
      <xdr:col>2</xdr:col>
      <xdr:colOff>9525</xdr:colOff>
      <xdr:row>259</xdr:row>
      <xdr:rowOff>0</xdr:rowOff>
    </xdr:to>
    <xdr:sp>
      <xdr:nvSpPr>
        <xdr:cNvPr id="7" name="直線コネクタ 17"/>
        <xdr:cNvSpPr>
          <a:spLocks/>
        </xdr:cNvSpPr>
      </xdr:nvSpPr>
      <xdr:spPr>
        <a:xfrm>
          <a:off x="57150" y="58416825"/>
          <a:ext cx="2295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311</xdr:row>
      <xdr:rowOff>19050</xdr:rowOff>
    </xdr:from>
    <xdr:to>
      <xdr:col>1</xdr:col>
      <xdr:colOff>1885950</xdr:colOff>
      <xdr:row>311</xdr:row>
      <xdr:rowOff>342900</xdr:rowOff>
    </xdr:to>
    <xdr:sp>
      <xdr:nvSpPr>
        <xdr:cNvPr id="8" name="直線コネクタ 22"/>
        <xdr:cNvSpPr>
          <a:spLocks/>
        </xdr:cNvSpPr>
      </xdr:nvSpPr>
      <xdr:spPr>
        <a:xfrm>
          <a:off x="9525" y="71532750"/>
          <a:ext cx="2238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1"/>
  <sheetViews>
    <sheetView tabSelected="1" view="pageBreakPreview" zoomScale="75" zoomScaleNormal="60" zoomScaleSheetLayoutView="75" zoomScalePageLayoutView="0" workbookViewId="0" topLeftCell="A339">
      <selection activeCell="K297" sqref="K297"/>
    </sheetView>
  </sheetViews>
  <sheetFormatPr defaultColWidth="9.00390625" defaultRowHeight="15" customHeight="1"/>
  <cols>
    <col min="1" max="1" width="4.75390625" style="3" customWidth="1"/>
    <col min="2" max="2" width="26.00390625" style="3" customWidth="1"/>
    <col min="3" max="3" width="8.625" style="3" customWidth="1"/>
    <col min="4" max="4" width="11.50390625" style="3" customWidth="1"/>
    <col min="5" max="5" width="9.875" style="3" customWidth="1"/>
    <col min="6" max="6" width="9.25390625" style="3" customWidth="1"/>
    <col min="7" max="7" width="9.00390625" style="3" customWidth="1"/>
    <col min="8" max="19" width="8.625" style="3" customWidth="1"/>
    <col min="20" max="20" width="9.625" style="3" customWidth="1"/>
    <col min="21" max="21" width="8.875" style="3" customWidth="1"/>
    <col min="22" max="22" width="7.625" style="3" customWidth="1"/>
    <col min="23" max="23" width="8.625" style="3" customWidth="1"/>
    <col min="24" max="24" width="7.625" style="3" customWidth="1"/>
    <col min="25" max="16384" width="9.00390625" style="3" customWidth="1"/>
  </cols>
  <sheetData>
    <row r="1" spans="1:13" ht="21.75" customHeight="1" thickBot="1">
      <c r="A1" s="166" t="s">
        <v>0</v>
      </c>
      <c r="B1" s="166"/>
      <c r="M1" s="4" t="s">
        <v>90</v>
      </c>
    </row>
    <row r="2" spans="1:13" ht="15" customHeight="1">
      <c r="A2" s="80"/>
      <c r="B2" s="44" t="s">
        <v>96</v>
      </c>
      <c r="C2" s="160" t="s">
        <v>1</v>
      </c>
      <c r="D2" s="160"/>
      <c r="E2" s="157" t="s">
        <v>2</v>
      </c>
      <c r="F2" s="157" t="s">
        <v>3</v>
      </c>
      <c r="G2" s="157" t="s">
        <v>5</v>
      </c>
      <c r="H2" s="157" t="s">
        <v>112</v>
      </c>
      <c r="I2" s="157" t="s">
        <v>8</v>
      </c>
      <c r="J2" s="157" t="s">
        <v>7</v>
      </c>
      <c r="K2" s="157" t="s">
        <v>6</v>
      </c>
      <c r="L2" s="157" t="s">
        <v>4</v>
      </c>
      <c r="M2" s="179" t="s">
        <v>9</v>
      </c>
    </row>
    <row r="3" spans="1:13" ht="36" customHeight="1" thickBot="1">
      <c r="A3" s="171" t="s">
        <v>94</v>
      </c>
      <c r="B3" s="172"/>
      <c r="C3" s="42" t="s">
        <v>10</v>
      </c>
      <c r="D3" s="148" t="s">
        <v>11</v>
      </c>
      <c r="E3" s="174"/>
      <c r="F3" s="174"/>
      <c r="G3" s="174"/>
      <c r="H3" s="174"/>
      <c r="I3" s="174"/>
      <c r="J3" s="174"/>
      <c r="K3" s="174"/>
      <c r="L3" s="174"/>
      <c r="M3" s="175"/>
    </row>
    <row r="4" spans="1:14" ht="18.75" customHeight="1">
      <c r="A4" s="167" t="s">
        <v>82</v>
      </c>
      <c r="B4" s="168"/>
      <c r="C4" s="22">
        <v>739</v>
      </c>
      <c r="D4" s="19">
        <v>1322.2</v>
      </c>
      <c r="E4" s="23">
        <v>199</v>
      </c>
      <c r="F4" s="23">
        <v>100</v>
      </c>
      <c r="G4" s="23">
        <v>114</v>
      </c>
      <c r="H4" s="23">
        <v>78</v>
      </c>
      <c r="I4" s="23">
        <v>42</v>
      </c>
      <c r="J4" s="23">
        <v>32</v>
      </c>
      <c r="K4" s="23">
        <v>12</v>
      </c>
      <c r="L4" s="23">
        <v>3</v>
      </c>
      <c r="M4" s="81">
        <v>159</v>
      </c>
      <c r="N4" s="58"/>
    </row>
    <row r="5" spans="1:14" ht="18.75" customHeight="1">
      <c r="A5" s="169" t="s">
        <v>83</v>
      </c>
      <c r="B5" s="170"/>
      <c r="C5" s="54">
        <v>701</v>
      </c>
      <c r="D5" s="55">
        <v>1269.5</v>
      </c>
      <c r="E5" s="56">
        <v>188</v>
      </c>
      <c r="F5" s="56">
        <v>88</v>
      </c>
      <c r="G5" s="56">
        <v>82</v>
      </c>
      <c r="H5" s="56">
        <v>66</v>
      </c>
      <c r="I5" s="56">
        <v>39</v>
      </c>
      <c r="J5" s="56">
        <v>56</v>
      </c>
      <c r="K5" s="56">
        <v>9</v>
      </c>
      <c r="L5" s="56">
        <v>4</v>
      </c>
      <c r="M5" s="82">
        <v>169</v>
      </c>
      <c r="N5" s="58"/>
    </row>
    <row r="6" spans="1:14" ht="18.75" customHeight="1">
      <c r="A6" s="167" t="s">
        <v>111</v>
      </c>
      <c r="B6" s="168"/>
      <c r="C6" s="22">
        <v>698</v>
      </c>
      <c r="D6" s="19">
        <v>1291.7</v>
      </c>
      <c r="E6" s="23">
        <v>159</v>
      </c>
      <c r="F6" s="23">
        <v>80</v>
      </c>
      <c r="G6" s="23">
        <v>127</v>
      </c>
      <c r="H6" s="23">
        <v>62</v>
      </c>
      <c r="I6" s="23">
        <v>34</v>
      </c>
      <c r="J6" s="23">
        <v>45</v>
      </c>
      <c r="K6" s="23">
        <v>6</v>
      </c>
      <c r="L6" s="23">
        <v>2</v>
      </c>
      <c r="M6" s="81">
        <v>183</v>
      </c>
      <c r="N6" s="58"/>
    </row>
    <row r="7" spans="1:14" ht="18.75" customHeight="1">
      <c r="A7" s="167" t="s">
        <v>115</v>
      </c>
      <c r="B7" s="168"/>
      <c r="C7" s="22">
        <v>741</v>
      </c>
      <c r="D7" s="19">
        <v>1388</v>
      </c>
      <c r="E7" s="23">
        <v>175</v>
      </c>
      <c r="F7" s="23">
        <v>98</v>
      </c>
      <c r="G7" s="23">
        <v>105</v>
      </c>
      <c r="H7" s="23">
        <v>76</v>
      </c>
      <c r="I7" s="23">
        <v>32</v>
      </c>
      <c r="J7" s="23">
        <v>54</v>
      </c>
      <c r="K7" s="23">
        <v>4</v>
      </c>
      <c r="L7" s="23">
        <v>3</v>
      </c>
      <c r="M7" s="81">
        <v>194</v>
      </c>
      <c r="N7" s="58"/>
    </row>
    <row r="8" spans="1:14" ht="18.75" customHeight="1">
      <c r="A8" s="167" t="s">
        <v>119</v>
      </c>
      <c r="B8" s="168"/>
      <c r="C8" s="22">
        <v>721</v>
      </c>
      <c r="D8" s="19">
        <v>1367</v>
      </c>
      <c r="E8" s="23">
        <v>198</v>
      </c>
      <c r="F8" s="23">
        <v>101</v>
      </c>
      <c r="G8" s="23">
        <v>92</v>
      </c>
      <c r="H8" s="23">
        <v>50</v>
      </c>
      <c r="I8" s="23">
        <v>37</v>
      </c>
      <c r="J8" s="23">
        <v>61</v>
      </c>
      <c r="K8" s="23">
        <v>9</v>
      </c>
      <c r="L8" s="23">
        <v>4</v>
      </c>
      <c r="M8" s="81">
        <v>169</v>
      </c>
      <c r="N8" s="58"/>
    </row>
    <row r="9" spans="1:14" ht="18.75" customHeight="1">
      <c r="A9" s="167" t="s">
        <v>122</v>
      </c>
      <c r="B9" s="168"/>
      <c r="C9" s="22">
        <v>698</v>
      </c>
      <c r="D9" s="19">
        <v>1340</v>
      </c>
      <c r="E9" s="23">
        <v>184</v>
      </c>
      <c r="F9" s="23">
        <v>72</v>
      </c>
      <c r="G9" s="23">
        <v>69</v>
      </c>
      <c r="H9" s="23">
        <v>50</v>
      </c>
      <c r="I9" s="23">
        <v>42</v>
      </c>
      <c r="J9" s="23">
        <v>55</v>
      </c>
      <c r="K9" s="23">
        <v>14</v>
      </c>
      <c r="L9" s="23">
        <v>0</v>
      </c>
      <c r="M9" s="81">
        <v>212</v>
      </c>
      <c r="N9" s="58"/>
    </row>
    <row r="10" spans="1:14" ht="18.75" customHeight="1">
      <c r="A10" s="169" t="s">
        <v>123</v>
      </c>
      <c r="B10" s="170"/>
      <c r="C10" s="141">
        <v>737</v>
      </c>
      <c r="D10" s="142">
        <v>1432</v>
      </c>
      <c r="E10" s="143">
        <v>179</v>
      </c>
      <c r="F10" s="143">
        <v>92</v>
      </c>
      <c r="G10" s="143">
        <v>73</v>
      </c>
      <c r="H10" s="143">
        <v>53</v>
      </c>
      <c r="I10" s="143">
        <v>46</v>
      </c>
      <c r="J10" s="143">
        <v>52</v>
      </c>
      <c r="K10" s="143">
        <v>6</v>
      </c>
      <c r="L10" s="143">
        <v>6</v>
      </c>
      <c r="M10" s="144">
        <v>230</v>
      </c>
      <c r="N10" s="58"/>
    </row>
    <row r="11" spans="1:14" ht="18.75" customHeight="1">
      <c r="A11" s="169" t="s">
        <v>129</v>
      </c>
      <c r="B11" s="170"/>
      <c r="C11" s="141">
        <v>721</v>
      </c>
      <c r="D11" s="142">
        <v>1421</v>
      </c>
      <c r="E11" s="143">
        <v>177</v>
      </c>
      <c r="F11" s="143">
        <v>98</v>
      </c>
      <c r="G11" s="143">
        <v>76</v>
      </c>
      <c r="H11" s="143">
        <v>67</v>
      </c>
      <c r="I11" s="143">
        <v>40</v>
      </c>
      <c r="J11" s="143">
        <v>56</v>
      </c>
      <c r="K11" s="143">
        <v>11</v>
      </c>
      <c r="L11" s="143">
        <v>3</v>
      </c>
      <c r="M11" s="144">
        <v>193</v>
      </c>
      <c r="N11" s="58"/>
    </row>
    <row r="12" spans="1:14" ht="18.75" customHeight="1" thickBot="1">
      <c r="A12" s="190" t="s">
        <v>133</v>
      </c>
      <c r="B12" s="191"/>
      <c r="C12" s="200">
        <v>747</v>
      </c>
      <c r="D12" s="201">
        <v>1492</v>
      </c>
      <c r="E12" s="202">
        <v>195</v>
      </c>
      <c r="F12" s="202">
        <v>102</v>
      </c>
      <c r="G12" s="202">
        <v>74</v>
      </c>
      <c r="H12" s="202">
        <v>57</v>
      </c>
      <c r="I12" s="202">
        <v>33</v>
      </c>
      <c r="J12" s="202">
        <v>67</v>
      </c>
      <c r="K12" s="202">
        <v>7</v>
      </c>
      <c r="L12" s="202">
        <v>0</v>
      </c>
      <c r="M12" s="203">
        <f>C12-E12-F12-G12-H12-I12-J12-K12-L12</f>
        <v>212</v>
      </c>
      <c r="N12" s="58"/>
    </row>
    <row r="13" ht="15" customHeight="1">
      <c r="B13" s="3" t="s">
        <v>88</v>
      </c>
    </row>
    <row r="14" ht="15" customHeight="1">
      <c r="B14" s="3" t="s">
        <v>118</v>
      </c>
    </row>
    <row r="16" spans="1:20" ht="15" customHeight="1" thickBot="1">
      <c r="A16" s="154" t="s">
        <v>72</v>
      </c>
      <c r="B16" s="154"/>
      <c r="C16" s="154"/>
      <c r="D16" s="6"/>
      <c r="T16" s="147" t="s">
        <v>91</v>
      </c>
    </row>
    <row r="17" spans="1:21" ht="15" customHeight="1">
      <c r="A17" s="162" t="s">
        <v>95</v>
      </c>
      <c r="B17" s="163"/>
      <c r="C17" s="157" t="s">
        <v>1</v>
      </c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</row>
    <row r="18" spans="1:21" ht="15" customHeight="1">
      <c r="A18" s="164"/>
      <c r="B18" s="165"/>
      <c r="C18" s="158"/>
      <c r="D18" s="178" t="s">
        <v>12</v>
      </c>
      <c r="E18" s="178" t="s">
        <v>13</v>
      </c>
      <c r="F18" s="178" t="s">
        <v>113</v>
      </c>
      <c r="G18" s="178" t="s">
        <v>14</v>
      </c>
      <c r="H18" s="178" t="s">
        <v>15</v>
      </c>
      <c r="I18" s="178" t="s">
        <v>16</v>
      </c>
      <c r="J18" s="178" t="s">
        <v>116</v>
      </c>
      <c r="K18" s="178" t="s">
        <v>17</v>
      </c>
      <c r="L18" s="178" t="s">
        <v>18</v>
      </c>
      <c r="M18" s="178" t="s">
        <v>19</v>
      </c>
      <c r="N18" s="178" t="s">
        <v>20</v>
      </c>
      <c r="O18" s="184" t="s">
        <v>21</v>
      </c>
      <c r="P18" s="178" t="s">
        <v>76</v>
      </c>
      <c r="Q18" s="178" t="s">
        <v>131</v>
      </c>
      <c r="R18" s="178" t="s">
        <v>81</v>
      </c>
      <c r="S18" s="178" t="s">
        <v>22</v>
      </c>
      <c r="T18" s="180" t="s">
        <v>23</v>
      </c>
      <c r="U18" s="183" t="s">
        <v>89</v>
      </c>
    </row>
    <row r="19" spans="1:21" ht="15" customHeight="1">
      <c r="A19" s="83"/>
      <c r="B19" s="50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85"/>
      <c r="P19" s="158"/>
      <c r="Q19" s="158"/>
      <c r="R19" s="158"/>
      <c r="S19" s="158"/>
      <c r="T19" s="181"/>
      <c r="U19" s="155"/>
    </row>
    <row r="20" spans="1:21" ht="18.75" customHeight="1" thickBot="1">
      <c r="A20" s="192" t="s">
        <v>94</v>
      </c>
      <c r="B20" s="19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86"/>
      <c r="P20" s="174"/>
      <c r="Q20" s="174"/>
      <c r="R20" s="174"/>
      <c r="S20" s="174"/>
      <c r="T20" s="182"/>
      <c r="U20" s="175"/>
    </row>
    <row r="21" spans="1:22" s="2" customFormat="1" ht="18.75" customHeight="1">
      <c r="A21" s="149" t="s">
        <v>84</v>
      </c>
      <c r="B21" s="24" t="s">
        <v>86</v>
      </c>
      <c r="C21" s="25">
        <v>739</v>
      </c>
      <c r="D21" s="26">
        <v>11</v>
      </c>
      <c r="E21" s="26">
        <v>203</v>
      </c>
      <c r="F21" s="26">
        <v>1</v>
      </c>
      <c r="G21" s="26">
        <v>13</v>
      </c>
      <c r="H21" s="26">
        <v>5</v>
      </c>
      <c r="I21" s="26">
        <v>13</v>
      </c>
      <c r="J21" s="26">
        <v>0</v>
      </c>
      <c r="K21" s="26">
        <v>229</v>
      </c>
      <c r="L21" s="26">
        <v>118</v>
      </c>
      <c r="M21" s="26">
        <v>17</v>
      </c>
      <c r="N21" s="26">
        <v>0</v>
      </c>
      <c r="O21" s="26">
        <v>6</v>
      </c>
      <c r="P21" s="26">
        <v>18</v>
      </c>
      <c r="Q21" s="26">
        <v>0</v>
      </c>
      <c r="R21" s="26">
        <v>0</v>
      </c>
      <c r="S21" s="26">
        <v>0</v>
      </c>
      <c r="T21" s="26">
        <v>41</v>
      </c>
      <c r="U21" s="71">
        <v>64</v>
      </c>
      <c r="V21" s="145"/>
    </row>
    <row r="22" spans="1:21" s="2" customFormat="1" ht="18.75" customHeight="1">
      <c r="A22" s="150"/>
      <c r="B22" s="59" t="s">
        <v>24</v>
      </c>
      <c r="C22" s="28">
        <v>100</v>
      </c>
      <c r="D22" s="29">
        <f aca="true" t="shared" si="0" ref="D22:I22">D21/739*100</f>
        <v>1.4884979702300407</v>
      </c>
      <c r="E22" s="29">
        <f t="shared" si="0"/>
        <v>27.46955345060893</v>
      </c>
      <c r="F22" s="29">
        <f t="shared" si="0"/>
        <v>0.13531799729364005</v>
      </c>
      <c r="G22" s="29">
        <f t="shared" si="0"/>
        <v>1.7591339648173208</v>
      </c>
      <c r="H22" s="29">
        <f t="shared" si="0"/>
        <v>0.6765899864682002</v>
      </c>
      <c r="I22" s="29">
        <f t="shared" si="0"/>
        <v>1.7591339648173208</v>
      </c>
      <c r="J22" s="29">
        <v>0</v>
      </c>
      <c r="K22" s="29">
        <f aca="true" t="shared" si="1" ref="K22:U22">K21/739*100</f>
        <v>30.987821380243574</v>
      </c>
      <c r="L22" s="29">
        <f t="shared" si="1"/>
        <v>15.967523680649526</v>
      </c>
      <c r="M22" s="29">
        <f t="shared" si="1"/>
        <v>2.3004059539918806</v>
      </c>
      <c r="N22" s="29">
        <f t="shared" si="1"/>
        <v>0</v>
      </c>
      <c r="O22" s="29">
        <f t="shared" si="1"/>
        <v>0.8119079837618403</v>
      </c>
      <c r="P22" s="29">
        <f t="shared" si="1"/>
        <v>2.435723951285521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5.548037889039242</v>
      </c>
      <c r="U22" s="72">
        <f t="shared" si="1"/>
        <v>8.660351826792963</v>
      </c>
    </row>
    <row r="23" spans="1:22" ht="18.75" customHeight="1">
      <c r="A23" s="150"/>
      <c r="B23" s="14" t="s">
        <v>87</v>
      </c>
      <c r="C23" s="15">
        <v>11635</v>
      </c>
      <c r="D23" s="16">
        <v>197</v>
      </c>
      <c r="E23" s="16">
        <v>3552</v>
      </c>
      <c r="F23" s="16">
        <v>38</v>
      </c>
      <c r="G23" s="16">
        <v>229</v>
      </c>
      <c r="H23" s="16">
        <v>87</v>
      </c>
      <c r="I23" s="16">
        <v>196</v>
      </c>
      <c r="J23" s="16">
        <v>0</v>
      </c>
      <c r="K23" s="16">
        <v>3305</v>
      </c>
      <c r="L23" s="16">
        <v>1930</v>
      </c>
      <c r="M23" s="16">
        <v>376</v>
      </c>
      <c r="N23" s="16">
        <v>11</v>
      </c>
      <c r="O23" s="16">
        <v>54</v>
      </c>
      <c r="P23" s="16">
        <v>318</v>
      </c>
      <c r="Q23" s="16">
        <v>0</v>
      </c>
      <c r="R23" s="16">
        <v>6</v>
      </c>
      <c r="S23" s="16">
        <v>20</v>
      </c>
      <c r="T23" s="16">
        <v>466</v>
      </c>
      <c r="U23" s="73">
        <v>850</v>
      </c>
      <c r="V23" s="6"/>
    </row>
    <row r="24" spans="1:21" ht="18.75" customHeight="1">
      <c r="A24" s="151"/>
      <c r="B24" s="60" t="s">
        <v>24</v>
      </c>
      <c r="C24" s="7">
        <f>C23/11635*100</f>
        <v>100</v>
      </c>
      <c r="D24" s="7">
        <f aca="true" t="shared" si="2" ref="D24:J24">D23/11635*100</f>
        <v>1.6931671680275033</v>
      </c>
      <c r="E24" s="7">
        <f t="shared" si="2"/>
        <v>30.528577567683712</v>
      </c>
      <c r="F24" s="7">
        <f t="shared" si="2"/>
        <v>0.3266007735281478</v>
      </c>
      <c r="G24" s="7">
        <f t="shared" si="2"/>
        <v>1.968199398366996</v>
      </c>
      <c r="H24" s="7">
        <f t="shared" si="2"/>
        <v>0.7477438762354963</v>
      </c>
      <c r="I24" s="7">
        <f t="shared" si="2"/>
        <v>1.684572410829394</v>
      </c>
      <c r="J24" s="7">
        <f t="shared" si="2"/>
        <v>0</v>
      </c>
      <c r="K24" s="7">
        <f aca="true" t="shared" si="3" ref="K24:U24">K23/11635*100</f>
        <v>28.405672539750753</v>
      </c>
      <c r="L24" s="7">
        <f t="shared" si="3"/>
        <v>16.587881392350667</v>
      </c>
      <c r="M24" s="7">
        <f t="shared" si="3"/>
        <v>3.2316287064890417</v>
      </c>
      <c r="N24" s="7">
        <f t="shared" si="3"/>
        <v>0.09454232917920069</v>
      </c>
      <c r="O24" s="7">
        <f t="shared" si="3"/>
        <v>0.46411688869789425</v>
      </c>
      <c r="P24" s="7">
        <f t="shared" si="3"/>
        <v>2.7331327889987107</v>
      </c>
      <c r="Q24" s="7">
        <f t="shared" si="3"/>
        <v>0</v>
      </c>
      <c r="R24" s="7">
        <f t="shared" si="3"/>
        <v>0.05156854318865492</v>
      </c>
      <c r="S24" s="7">
        <f t="shared" si="3"/>
        <v>0.17189514396218308</v>
      </c>
      <c r="T24" s="7">
        <f t="shared" si="3"/>
        <v>4.005156854318866</v>
      </c>
      <c r="U24" s="75">
        <f t="shared" si="3"/>
        <v>7.305543618392781</v>
      </c>
    </row>
    <row r="25" spans="1:22" s="2" customFormat="1" ht="18.75" customHeight="1">
      <c r="A25" s="149" t="s">
        <v>85</v>
      </c>
      <c r="B25" s="24" t="s">
        <v>86</v>
      </c>
      <c r="C25" s="25">
        <v>701</v>
      </c>
      <c r="D25" s="26">
        <v>16</v>
      </c>
      <c r="E25" s="26">
        <v>193</v>
      </c>
      <c r="F25" s="26">
        <v>4</v>
      </c>
      <c r="G25" s="26">
        <v>14</v>
      </c>
      <c r="H25" s="26">
        <v>8</v>
      </c>
      <c r="I25" s="26">
        <v>11</v>
      </c>
      <c r="J25" s="26">
        <v>0</v>
      </c>
      <c r="K25" s="26">
        <v>189</v>
      </c>
      <c r="L25" s="26">
        <v>104</v>
      </c>
      <c r="M25" s="26">
        <v>19</v>
      </c>
      <c r="N25" s="26">
        <v>1</v>
      </c>
      <c r="O25" s="26">
        <v>4</v>
      </c>
      <c r="P25" s="26">
        <v>10</v>
      </c>
      <c r="Q25" s="26">
        <v>0</v>
      </c>
      <c r="R25" s="26">
        <v>1</v>
      </c>
      <c r="S25" s="26">
        <v>0</v>
      </c>
      <c r="T25" s="26">
        <v>63</v>
      </c>
      <c r="U25" s="71">
        <v>64</v>
      </c>
      <c r="V25" s="145"/>
    </row>
    <row r="26" spans="1:21" s="2" customFormat="1" ht="18.75" customHeight="1">
      <c r="A26" s="150"/>
      <c r="B26" s="59" t="s">
        <v>24</v>
      </c>
      <c r="C26" s="28">
        <f>C25/701*100</f>
        <v>100</v>
      </c>
      <c r="D26" s="28">
        <f aca="true" t="shared" si="4" ref="D26:J26">D25/701*100</f>
        <v>2.282453637660485</v>
      </c>
      <c r="E26" s="28">
        <f t="shared" si="4"/>
        <v>27.5320970042796</v>
      </c>
      <c r="F26" s="28">
        <f t="shared" si="4"/>
        <v>0.5706134094151213</v>
      </c>
      <c r="G26" s="28">
        <f t="shared" si="4"/>
        <v>1.9971469329529243</v>
      </c>
      <c r="H26" s="28">
        <f t="shared" si="4"/>
        <v>1.1412268188302426</v>
      </c>
      <c r="I26" s="28">
        <f t="shared" si="4"/>
        <v>1.5691868758915835</v>
      </c>
      <c r="J26" s="28">
        <f t="shared" si="4"/>
        <v>0</v>
      </c>
      <c r="K26" s="28">
        <f aca="true" t="shared" si="5" ref="K26:U26">K25/701*100</f>
        <v>26.961483594864475</v>
      </c>
      <c r="L26" s="28">
        <f t="shared" si="5"/>
        <v>14.835948644793154</v>
      </c>
      <c r="M26" s="28">
        <f t="shared" si="5"/>
        <v>2.710413694721826</v>
      </c>
      <c r="N26" s="28">
        <f t="shared" si="5"/>
        <v>0.14265335235378032</v>
      </c>
      <c r="O26" s="28">
        <f t="shared" si="5"/>
        <v>0.5706134094151213</v>
      </c>
      <c r="P26" s="28">
        <f t="shared" si="5"/>
        <v>1.4265335235378032</v>
      </c>
      <c r="Q26" s="28">
        <f t="shared" si="5"/>
        <v>0</v>
      </c>
      <c r="R26" s="28">
        <f t="shared" si="5"/>
        <v>0.14265335235378032</v>
      </c>
      <c r="S26" s="28">
        <f t="shared" si="5"/>
        <v>0</v>
      </c>
      <c r="T26" s="28">
        <f t="shared" si="5"/>
        <v>8.98716119828816</v>
      </c>
      <c r="U26" s="72">
        <f t="shared" si="5"/>
        <v>9.12981455064194</v>
      </c>
    </row>
    <row r="27" spans="1:22" ht="18.75" customHeight="1">
      <c r="A27" s="150"/>
      <c r="B27" s="14" t="s">
        <v>87</v>
      </c>
      <c r="C27" s="15">
        <v>11480</v>
      </c>
      <c r="D27" s="16">
        <v>221</v>
      </c>
      <c r="E27" s="16">
        <v>3437</v>
      </c>
      <c r="F27" s="16">
        <v>44</v>
      </c>
      <c r="G27" s="16">
        <v>223</v>
      </c>
      <c r="H27" s="16">
        <v>110</v>
      </c>
      <c r="I27" s="16">
        <v>186</v>
      </c>
      <c r="J27" s="16">
        <v>0</v>
      </c>
      <c r="K27" s="16">
        <v>3234</v>
      </c>
      <c r="L27" s="16">
        <v>1841</v>
      </c>
      <c r="M27" s="16">
        <v>398</v>
      </c>
      <c r="N27" s="16">
        <v>6</v>
      </c>
      <c r="O27" s="16">
        <v>53</v>
      </c>
      <c r="P27" s="16">
        <v>331</v>
      </c>
      <c r="Q27" s="16">
        <v>2</v>
      </c>
      <c r="R27" s="16">
        <v>7</v>
      </c>
      <c r="S27" s="16">
        <v>14</v>
      </c>
      <c r="T27" s="16">
        <v>539</v>
      </c>
      <c r="U27" s="73">
        <v>834</v>
      </c>
      <c r="V27" s="146"/>
    </row>
    <row r="28" spans="1:21" ht="18.75" customHeight="1">
      <c r="A28" s="150"/>
      <c r="B28" s="61" t="s">
        <v>24</v>
      </c>
      <c r="C28" s="52">
        <f>C27/11480*100</f>
        <v>100</v>
      </c>
      <c r="D28" s="52">
        <f aca="true" t="shared" si="6" ref="D28:J28">D27/11480*100</f>
        <v>1.9250871080139373</v>
      </c>
      <c r="E28" s="52">
        <f t="shared" si="6"/>
        <v>29.9390243902439</v>
      </c>
      <c r="F28" s="52">
        <f t="shared" si="6"/>
        <v>0.3832752613240418</v>
      </c>
      <c r="G28" s="52">
        <f t="shared" si="6"/>
        <v>1.9425087108013939</v>
      </c>
      <c r="H28" s="52">
        <f t="shared" si="6"/>
        <v>0.9581881533101044</v>
      </c>
      <c r="I28" s="52">
        <f t="shared" si="6"/>
        <v>1.6202090592334497</v>
      </c>
      <c r="J28" s="52">
        <f t="shared" si="6"/>
        <v>0</v>
      </c>
      <c r="K28" s="52">
        <f aca="true" t="shared" si="7" ref="K28:U28">K27/11480*100</f>
        <v>28.17073170731707</v>
      </c>
      <c r="L28" s="52">
        <f t="shared" si="7"/>
        <v>16.036585365853657</v>
      </c>
      <c r="M28" s="52">
        <f t="shared" si="7"/>
        <v>3.466898954703833</v>
      </c>
      <c r="N28" s="52">
        <f t="shared" si="7"/>
        <v>0.05226480836236934</v>
      </c>
      <c r="O28" s="52">
        <f t="shared" si="7"/>
        <v>0.4616724738675958</v>
      </c>
      <c r="P28" s="52">
        <f t="shared" si="7"/>
        <v>2.8832752613240418</v>
      </c>
      <c r="Q28" s="52">
        <f t="shared" si="7"/>
        <v>0.017421602787456445</v>
      </c>
      <c r="R28" s="52">
        <f t="shared" si="7"/>
        <v>0.06097560975609756</v>
      </c>
      <c r="S28" s="52">
        <f t="shared" si="7"/>
        <v>0.12195121951219512</v>
      </c>
      <c r="T28" s="52">
        <f t="shared" si="7"/>
        <v>4.695121951219512</v>
      </c>
      <c r="U28" s="74">
        <f t="shared" si="7"/>
        <v>7.264808362369338</v>
      </c>
    </row>
    <row r="29" spans="1:21" ht="18.75" customHeight="1">
      <c r="A29" s="149" t="s">
        <v>109</v>
      </c>
      <c r="B29" s="24" t="s">
        <v>86</v>
      </c>
      <c r="C29" s="25">
        <f>SUM(D29:T29)</f>
        <v>649</v>
      </c>
      <c r="D29" s="26">
        <v>14</v>
      </c>
      <c r="E29" s="26">
        <v>162</v>
      </c>
      <c r="F29" s="26">
        <v>2</v>
      </c>
      <c r="G29" s="26">
        <v>13</v>
      </c>
      <c r="H29" s="26">
        <v>10</v>
      </c>
      <c r="I29" s="26">
        <v>20</v>
      </c>
      <c r="J29" s="26">
        <v>0</v>
      </c>
      <c r="K29" s="26">
        <v>217</v>
      </c>
      <c r="L29" s="26">
        <v>104</v>
      </c>
      <c r="M29" s="26">
        <v>30</v>
      </c>
      <c r="N29" s="26">
        <v>0</v>
      </c>
      <c r="O29" s="26">
        <v>3</v>
      </c>
      <c r="P29" s="26">
        <v>19</v>
      </c>
      <c r="Q29" s="26">
        <v>0</v>
      </c>
      <c r="R29" s="26">
        <v>1</v>
      </c>
      <c r="S29" s="26">
        <v>1</v>
      </c>
      <c r="T29" s="26">
        <v>53</v>
      </c>
      <c r="U29" s="71">
        <v>49</v>
      </c>
    </row>
    <row r="30" spans="1:21" ht="18.75" customHeight="1">
      <c r="A30" s="150"/>
      <c r="B30" s="59" t="s">
        <v>24</v>
      </c>
      <c r="C30" s="28">
        <f>SUM(D30:T30)</f>
        <v>99.99999999999997</v>
      </c>
      <c r="D30" s="28">
        <f>+D29/$C$29*100</f>
        <v>2.157164869029276</v>
      </c>
      <c r="E30" s="28">
        <f aca="true" t="shared" si="8" ref="E30:J30">+E29/$C$29*100</f>
        <v>24.961479198767332</v>
      </c>
      <c r="F30" s="28">
        <f t="shared" si="8"/>
        <v>0.30816640986132515</v>
      </c>
      <c r="G30" s="28">
        <f t="shared" si="8"/>
        <v>2.0030816640986133</v>
      </c>
      <c r="H30" s="28">
        <f t="shared" si="8"/>
        <v>1.5408320493066257</v>
      </c>
      <c r="I30" s="28">
        <f t="shared" si="8"/>
        <v>3.0816640986132513</v>
      </c>
      <c r="J30" s="28">
        <f t="shared" si="8"/>
        <v>0</v>
      </c>
      <c r="K30" s="28">
        <f aca="true" t="shared" si="9" ref="K30:U30">+K29/$C$29*100</f>
        <v>33.43605546995377</v>
      </c>
      <c r="L30" s="28">
        <f t="shared" si="9"/>
        <v>16.024653312788907</v>
      </c>
      <c r="M30" s="28">
        <f t="shared" si="9"/>
        <v>4.622496147919876</v>
      </c>
      <c r="N30" s="28">
        <f t="shared" si="9"/>
        <v>0</v>
      </c>
      <c r="O30" s="28">
        <f t="shared" si="9"/>
        <v>0.46224961479198773</v>
      </c>
      <c r="P30" s="28">
        <f t="shared" si="9"/>
        <v>2.9275808936825887</v>
      </c>
      <c r="Q30" s="28">
        <f t="shared" si="9"/>
        <v>0</v>
      </c>
      <c r="R30" s="28">
        <f t="shared" si="9"/>
        <v>0.15408320493066258</v>
      </c>
      <c r="S30" s="28">
        <f t="shared" si="9"/>
        <v>0.15408320493066258</v>
      </c>
      <c r="T30" s="28">
        <f t="shared" si="9"/>
        <v>8.166409861325114</v>
      </c>
      <c r="U30" s="72">
        <f t="shared" si="9"/>
        <v>7.550077041602465</v>
      </c>
    </row>
    <row r="31" spans="1:21" ht="18.75" customHeight="1">
      <c r="A31" s="150"/>
      <c r="B31" s="14" t="s">
        <v>87</v>
      </c>
      <c r="C31" s="15">
        <f>SUM(D31:T31)</f>
        <v>11083</v>
      </c>
      <c r="D31" s="16">
        <v>217</v>
      </c>
      <c r="E31" s="16">
        <v>3489</v>
      </c>
      <c r="F31" s="16">
        <v>36</v>
      </c>
      <c r="G31" s="16">
        <v>241</v>
      </c>
      <c r="H31" s="16">
        <v>130</v>
      </c>
      <c r="I31" s="16">
        <v>250</v>
      </c>
      <c r="J31" s="16">
        <v>0</v>
      </c>
      <c r="K31" s="16">
        <v>3294</v>
      </c>
      <c r="L31" s="16">
        <v>1948</v>
      </c>
      <c r="M31" s="16">
        <v>434</v>
      </c>
      <c r="N31" s="16">
        <v>6</v>
      </c>
      <c r="O31" s="16">
        <v>58</v>
      </c>
      <c r="P31" s="16">
        <v>351</v>
      </c>
      <c r="Q31" s="16">
        <v>0</v>
      </c>
      <c r="R31" s="16">
        <v>7</v>
      </c>
      <c r="S31" s="16">
        <v>26</v>
      </c>
      <c r="T31" s="16">
        <v>596</v>
      </c>
      <c r="U31" s="73">
        <v>792</v>
      </c>
    </row>
    <row r="32" spans="1:21" ht="18.75" customHeight="1">
      <c r="A32" s="151"/>
      <c r="B32" s="60" t="s">
        <v>24</v>
      </c>
      <c r="C32" s="7">
        <f>SUM(D32:T32)</f>
        <v>99.99999999999999</v>
      </c>
      <c r="D32" s="7">
        <f>+D31/$C$31*100</f>
        <v>1.9579536226653433</v>
      </c>
      <c r="E32" s="7">
        <f aca="true" t="shared" si="10" ref="E32:J32">+E31/$C$31*100</f>
        <v>31.480646034467203</v>
      </c>
      <c r="F32" s="7">
        <f t="shared" si="10"/>
        <v>0.3248217991518542</v>
      </c>
      <c r="G32" s="7">
        <f t="shared" si="10"/>
        <v>2.1745014887665794</v>
      </c>
      <c r="H32" s="7">
        <f t="shared" si="10"/>
        <v>1.1729676080483622</v>
      </c>
      <c r="I32" s="7">
        <f t="shared" si="10"/>
        <v>2.255706938554543</v>
      </c>
      <c r="J32" s="7">
        <f t="shared" si="10"/>
        <v>0</v>
      </c>
      <c r="K32" s="7">
        <f aca="true" t="shared" si="11" ref="K32:U32">+K31/$C$31*100</f>
        <v>29.72119462239466</v>
      </c>
      <c r="L32" s="7">
        <f t="shared" si="11"/>
        <v>17.576468465216998</v>
      </c>
      <c r="M32" s="7">
        <f t="shared" si="11"/>
        <v>3.9159072453306867</v>
      </c>
      <c r="N32" s="7">
        <f t="shared" si="11"/>
        <v>0.054136966525309034</v>
      </c>
      <c r="O32" s="7">
        <f t="shared" si="11"/>
        <v>0.523324009744654</v>
      </c>
      <c r="P32" s="7">
        <f t="shared" si="11"/>
        <v>3.167012541730578</v>
      </c>
      <c r="Q32" s="7">
        <f t="shared" si="11"/>
        <v>0</v>
      </c>
      <c r="R32" s="7">
        <f t="shared" si="11"/>
        <v>0.0631597942795272</v>
      </c>
      <c r="S32" s="7">
        <f t="shared" si="11"/>
        <v>0.23459352160967248</v>
      </c>
      <c r="T32" s="7">
        <f t="shared" si="11"/>
        <v>5.377605341514031</v>
      </c>
      <c r="U32" s="75">
        <f t="shared" si="11"/>
        <v>7.146079581340792</v>
      </c>
    </row>
    <row r="33" spans="1:21" ht="18.75" customHeight="1">
      <c r="A33" s="150" t="s">
        <v>110</v>
      </c>
      <c r="B33" s="30" t="s">
        <v>86</v>
      </c>
      <c r="C33" s="53">
        <v>741</v>
      </c>
      <c r="D33" s="31">
        <v>13</v>
      </c>
      <c r="E33" s="31">
        <v>184</v>
      </c>
      <c r="F33" s="31">
        <v>4</v>
      </c>
      <c r="G33" s="31">
        <v>19</v>
      </c>
      <c r="H33" s="31">
        <v>21</v>
      </c>
      <c r="I33" s="31">
        <v>18</v>
      </c>
      <c r="J33" s="31">
        <v>0</v>
      </c>
      <c r="K33" s="31">
        <v>218</v>
      </c>
      <c r="L33" s="31">
        <v>118</v>
      </c>
      <c r="M33" s="31">
        <v>19</v>
      </c>
      <c r="N33" s="31">
        <v>0</v>
      </c>
      <c r="O33" s="31">
        <v>0</v>
      </c>
      <c r="P33" s="31">
        <v>17</v>
      </c>
      <c r="Q33" s="31">
        <v>0</v>
      </c>
      <c r="R33" s="31">
        <v>0</v>
      </c>
      <c r="S33" s="31">
        <v>0</v>
      </c>
      <c r="T33" s="31">
        <v>61</v>
      </c>
      <c r="U33" s="76">
        <v>49</v>
      </c>
    </row>
    <row r="34" spans="1:21" ht="18.75" customHeight="1">
      <c r="A34" s="150"/>
      <c r="B34" s="27" t="s">
        <v>24</v>
      </c>
      <c r="C34" s="28">
        <v>100</v>
      </c>
      <c r="D34" s="28">
        <f>D33/741*100</f>
        <v>1.7543859649122806</v>
      </c>
      <c r="E34" s="28">
        <f>E33/741*100</f>
        <v>24.831309041835357</v>
      </c>
      <c r="F34" s="28">
        <f>F33/741*100</f>
        <v>0.5398110661268556</v>
      </c>
      <c r="G34" s="28">
        <f aca="true" t="shared" si="12" ref="G34:U34">G33/741*100</f>
        <v>2.564102564102564</v>
      </c>
      <c r="H34" s="28">
        <f t="shared" si="12"/>
        <v>2.834008097165992</v>
      </c>
      <c r="I34" s="28">
        <f t="shared" si="12"/>
        <v>2.42914979757085</v>
      </c>
      <c r="J34" s="28">
        <f t="shared" si="12"/>
        <v>0</v>
      </c>
      <c r="K34" s="28">
        <f t="shared" si="12"/>
        <v>29.41970310391363</v>
      </c>
      <c r="L34" s="28">
        <f t="shared" si="12"/>
        <v>15.92442645074224</v>
      </c>
      <c r="M34" s="28">
        <f t="shared" si="12"/>
        <v>2.564102564102564</v>
      </c>
      <c r="N34" s="28">
        <f t="shared" si="12"/>
        <v>0</v>
      </c>
      <c r="O34" s="28">
        <f t="shared" si="12"/>
        <v>0</v>
      </c>
      <c r="P34" s="28">
        <f t="shared" si="12"/>
        <v>2.2941970310391366</v>
      </c>
      <c r="Q34" s="28">
        <f t="shared" si="12"/>
        <v>0</v>
      </c>
      <c r="R34" s="28">
        <f t="shared" si="12"/>
        <v>0</v>
      </c>
      <c r="S34" s="28">
        <f t="shared" si="12"/>
        <v>0</v>
      </c>
      <c r="T34" s="28">
        <f t="shared" si="12"/>
        <v>8.232118758434549</v>
      </c>
      <c r="U34" s="99">
        <f t="shared" si="12"/>
        <v>6.612685560053981</v>
      </c>
    </row>
    <row r="35" spans="1:21" ht="18.75" customHeight="1">
      <c r="A35" s="150"/>
      <c r="B35" s="14" t="s">
        <v>87</v>
      </c>
      <c r="C35" s="15">
        <v>12264</v>
      </c>
      <c r="D35" s="16">
        <v>214</v>
      </c>
      <c r="E35" s="16">
        <v>3494</v>
      </c>
      <c r="F35" s="16">
        <v>52</v>
      </c>
      <c r="G35" s="16">
        <v>245</v>
      </c>
      <c r="H35" s="16">
        <v>150</v>
      </c>
      <c r="I35" s="16">
        <v>268</v>
      </c>
      <c r="J35" s="16">
        <v>1</v>
      </c>
      <c r="K35" s="16">
        <v>3445</v>
      </c>
      <c r="L35" s="16">
        <v>2051</v>
      </c>
      <c r="M35" s="16">
        <v>411</v>
      </c>
      <c r="N35" s="16">
        <v>16</v>
      </c>
      <c r="O35" s="16">
        <v>46</v>
      </c>
      <c r="P35" s="16">
        <v>343</v>
      </c>
      <c r="Q35" s="16">
        <v>0</v>
      </c>
      <c r="R35" s="16">
        <v>2</v>
      </c>
      <c r="S35" s="16">
        <v>19</v>
      </c>
      <c r="T35" s="16">
        <v>659</v>
      </c>
      <c r="U35" s="73">
        <v>848</v>
      </c>
    </row>
    <row r="36" spans="1:21" ht="18.75" customHeight="1">
      <c r="A36" s="150"/>
      <c r="B36" s="97" t="s">
        <v>24</v>
      </c>
      <c r="C36" s="7">
        <v>100.00000000000003</v>
      </c>
      <c r="D36" s="7">
        <f>D35/12264*100</f>
        <v>1.744944553163731</v>
      </c>
      <c r="E36" s="7">
        <f>E35/12264*100</f>
        <v>28.489889106327464</v>
      </c>
      <c r="F36" s="7">
        <f aca="true" t="shared" si="13" ref="F36:U36">F35/12264*100</f>
        <v>0.42400521852576645</v>
      </c>
      <c r="G36" s="7">
        <f t="shared" si="13"/>
        <v>1.9977168949771689</v>
      </c>
      <c r="H36" s="7">
        <f t="shared" si="13"/>
        <v>1.223091976516634</v>
      </c>
      <c r="I36" s="7">
        <f t="shared" si="13"/>
        <v>2.1852576647097193</v>
      </c>
      <c r="J36" s="7">
        <f t="shared" si="13"/>
        <v>0.008153946510110893</v>
      </c>
      <c r="K36" s="7">
        <f t="shared" si="13"/>
        <v>28.09034572733203</v>
      </c>
      <c r="L36" s="7">
        <f t="shared" si="13"/>
        <v>16.723744292237445</v>
      </c>
      <c r="M36" s="7">
        <f t="shared" si="13"/>
        <v>3.351272015655577</v>
      </c>
      <c r="N36" s="7">
        <f t="shared" si="13"/>
        <v>0.1304631441617743</v>
      </c>
      <c r="O36" s="7">
        <f t="shared" si="13"/>
        <v>0.3750815394651011</v>
      </c>
      <c r="P36" s="7">
        <f t="shared" si="13"/>
        <v>2.7968036529680362</v>
      </c>
      <c r="Q36" s="7">
        <f t="shared" si="13"/>
        <v>0</v>
      </c>
      <c r="R36" s="7">
        <f t="shared" si="13"/>
        <v>0.016307893020221786</v>
      </c>
      <c r="S36" s="7">
        <f t="shared" si="13"/>
        <v>0.15492498369210697</v>
      </c>
      <c r="T36" s="7">
        <f t="shared" si="13"/>
        <v>5.373450750163078</v>
      </c>
      <c r="U36" s="75">
        <f t="shared" si="13"/>
        <v>6.914546640574038</v>
      </c>
    </row>
    <row r="37" spans="1:21" ht="18.75" customHeight="1">
      <c r="A37" s="149" t="s">
        <v>120</v>
      </c>
      <c r="B37" s="30" t="s">
        <v>86</v>
      </c>
      <c r="C37" s="53">
        <v>721</v>
      </c>
      <c r="D37" s="31">
        <v>12</v>
      </c>
      <c r="E37" s="31">
        <v>202</v>
      </c>
      <c r="F37" s="31">
        <v>4</v>
      </c>
      <c r="G37" s="31">
        <v>9</v>
      </c>
      <c r="H37" s="31">
        <v>10</v>
      </c>
      <c r="I37" s="31">
        <v>15</v>
      </c>
      <c r="J37" s="31">
        <v>0</v>
      </c>
      <c r="K37" s="31">
        <v>206</v>
      </c>
      <c r="L37" s="31">
        <v>94</v>
      </c>
      <c r="M37" s="31">
        <v>27</v>
      </c>
      <c r="N37" s="31">
        <v>0</v>
      </c>
      <c r="O37" s="31">
        <v>1</v>
      </c>
      <c r="P37" s="31">
        <v>23</v>
      </c>
      <c r="Q37" s="31">
        <v>0</v>
      </c>
      <c r="R37" s="31">
        <v>0</v>
      </c>
      <c r="S37" s="31">
        <v>1</v>
      </c>
      <c r="T37" s="31">
        <v>67</v>
      </c>
      <c r="U37" s="76">
        <v>50</v>
      </c>
    </row>
    <row r="38" spans="1:21" ht="18.75" customHeight="1">
      <c r="A38" s="150"/>
      <c r="B38" s="59" t="s">
        <v>24</v>
      </c>
      <c r="C38" s="28">
        <v>100</v>
      </c>
      <c r="D38" s="28">
        <f>D37/721*100</f>
        <v>1.6643550624133148</v>
      </c>
      <c r="E38" s="28">
        <f>E37/721*100</f>
        <v>28.01664355062413</v>
      </c>
      <c r="F38" s="28">
        <f aca="true" t="shared" si="14" ref="F38:U38">F37/721*100</f>
        <v>0.5547850208044383</v>
      </c>
      <c r="G38" s="28">
        <f t="shared" si="14"/>
        <v>1.248266296809986</v>
      </c>
      <c r="H38" s="28">
        <f t="shared" si="14"/>
        <v>1.3869625520110958</v>
      </c>
      <c r="I38" s="28">
        <f>I37/721*100</f>
        <v>2.0804438280166435</v>
      </c>
      <c r="J38" s="28">
        <f t="shared" si="14"/>
        <v>0</v>
      </c>
      <c r="K38" s="28">
        <v>28.7</v>
      </c>
      <c r="L38" s="28">
        <f t="shared" si="14"/>
        <v>13.0374479889043</v>
      </c>
      <c r="M38" s="28">
        <f t="shared" si="14"/>
        <v>3.744798890429958</v>
      </c>
      <c r="N38" s="28">
        <f t="shared" si="14"/>
        <v>0</v>
      </c>
      <c r="O38" s="28">
        <f t="shared" si="14"/>
        <v>0.13869625520110956</v>
      </c>
      <c r="P38" s="28">
        <f t="shared" si="14"/>
        <v>3.19001386962552</v>
      </c>
      <c r="Q38" s="28">
        <f t="shared" si="14"/>
        <v>0</v>
      </c>
      <c r="R38" s="28">
        <f t="shared" si="14"/>
        <v>0</v>
      </c>
      <c r="S38" s="28">
        <f t="shared" si="14"/>
        <v>0.13869625520110956</v>
      </c>
      <c r="T38" s="28">
        <f t="shared" si="14"/>
        <v>9.29264909847434</v>
      </c>
      <c r="U38" s="99">
        <f t="shared" si="14"/>
        <v>6.934812760055478</v>
      </c>
    </row>
    <row r="39" spans="1:21" ht="18.75" customHeight="1">
      <c r="A39" s="150"/>
      <c r="B39" s="14" t="s">
        <v>87</v>
      </c>
      <c r="C39" s="15">
        <v>12754</v>
      </c>
      <c r="D39" s="16">
        <v>203</v>
      </c>
      <c r="E39" s="16">
        <v>3599</v>
      </c>
      <c r="F39" s="16">
        <v>47</v>
      </c>
      <c r="G39" s="16">
        <v>240</v>
      </c>
      <c r="H39" s="16">
        <v>151</v>
      </c>
      <c r="I39" s="16">
        <v>281</v>
      </c>
      <c r="J39" s="16">
        <v>0</v>
      </c>
      <c r="K39" s="16">
        <v>3435</v>
      </c>
      <c r="L39" s="16">
        <v>2138</v>
      </c>
      <c r="M39" s="16">
        <v>475</v>
      </c>
      <c r="N39" s="16">
        <v>10</v>
      </c>
      <c r="O39" s="16">
        <v>66</v>
      </c>
      <c r="P39" s="16">
        <v>387</v>
      </c>
      <c r="Q39" s="16">
        <v>0</v>
      </c>
      <c r="R39" s="16">
        <v>3</v>
      </c>
      <c r="S39" s="16">
        <v>26</v>
      </c>
      <c r="T39" s="16">
        <v>850</v>
      </c>
      <c r="U39" s="73">
        <v>843</v>
      </c>
    </row>
    <row r="40" spans="1:21" ht="18.75" customHeight="1">
      <c r="A40" s="150"/>
      <c r="B40" s="61" t="s">
        <v>24</v>
      </c>
      <c r="C40" s="52">
        <v>100.00000000000003</v>
      </c>
      <c r="D40" s="52">
        <f>D39/12754*100</f>
        <v>1.5916575192096598</v>
      </c>
      <c r="E40" s="52">
        <f aca="true" t="shared" si="15" ref="E40:U40">E39/12754*100</f>
        <v>28.218598086874707</v>
      </c>
      <c r="F40" s="52">
        <f t="shared" si="15"/>
        <v>0.36851183942292615</v>
      </c>
      <c r="G40" s="52">
        <f t="shared" si="15"/>
        <v>1.8817625842872825</v>
      </c>
      <c r="H40" s="52">
        <f t="shared" si="15"/>
        <v>1.183942292614082</v>
      </c>
      <c r="I40" s="52">
        <f t="shared" si="15"/>
        <v>2.2032303591030264</v>
      </c>
      <c r="J40" s="52">
        <f t="shared" si="15"/>
        <v>0</v>
      </c>
      <c r="K40" s="52">
        <f t="shared" si="15"/>
        <v>26.932726987611726</v>
      </c>
      <c r="L40" s="52">
        <f t="shared" si="15"/>
        <v>16.76336835502587</v>
      </c>
      <c r="M40" s="52">
        <f t="shared" si="15"/>
        <v>3.724321781401913</v>
      </c>
      <c r="N40" s="52">
        <f t="shared" si="15"/>
        <v>0.07840677434530344</v>
      </c>
      <c r="O40" s="52">
        <f t="shared" si="15"/>
        <v>0.5174847106790026</v>
      </c>
      <c r="P40" s="52">
        <f t="shared" si="15"/>
        <v>3.034342167163243</v>
      </c>
      <c r="Q40" s="52">
        <f t="shared" si="15"/>
        <v>0</v>
      </c>
      <c r="R40" s="52">
        <f t="shared" si="15"/>
        <v>0.02352203230359103</v>
      </c>
      <c r="S40" s="52">
        <f t="shared" si="15"/>
        <v>0.20385761329778895</v>
      </c>
      <c r="T40" s="52">
        <f t="shared" si="15"/>
        <v>6.664575819350792</v>
      </c>
      <c r="U40" s="74">
        <f t="shared" si="15"/>
        <v>6.60969107730908</v>
      </c>
    </row>
    <row r="41" spans="1:21" ht="18.75" customHeight="1">
      <c r="A41" s="149" t="s">
        <v>124</v>
      </c>
      <c r="B41" s="24" t="s">
        <v>86</v>
      </c>
      <c r="C41" s="25">
        <v>698</v>
      </c>
      <c r="D41" s="26">
        <v>15</v>
      </c>
      <c r="E41" s="26">
        <v>192</v>
      </c>
      <c r="F41" s="26">
        <v>4</v>
      </c>
      <c r="G41" s="26">
        <v>10</v>
      </c>
      <c r="H41" s="26">
        <v>18</v>
      </c>
      <c r="I41" s="26">
        <v>21</v>
      </c>
      <c r="J41" s="26">
        <v>0</v>
      </c>
      <c r="K41" s="26">
        <v>152</v>
      </c>
      <c r="L41" s="26">
        <v>112</v>
      </c>
      <c r="M41" s="26">
        <v>26</v>
      </c>
      <c r="N41" s="26">
        <v>0</v>
      </c>
      <c r="O41" s="26">
        <v>1</v>
      </c>
      <c r="P41" s="26">
        <v>15</v>
      </c>
      <c r="Q41" s="26">
        <v>0</v>
      </c>
      <c r="R41" s="26">
        <v>0</v>
      </c>
      <c r="S41" s="26">
        <v>2</v>
      </c>
      <c r="T41" s="26">
        <v>65</v>
      </c>
      <c r="U41" s="71">
        <v>65</v>
      </c>
    </row>
    <row r="42" spans="1:21" ht="18.75" customHeight="1">
      <c r="A42" s="150"/>
      <c r="B42" s="59" t="s">
        <v>24</v>
      </c>
      <c r="C42" s="28">
        <v>100</v>
      </c>
      <c r="D42" s="28">
        <f>D41/698*100</f>
        <v>2.148997134670487</v>
      </c>
      <c r="E42" s="28">
        <f aca="true" t="shared" si="16" ref="E42:U42">E41/698*100</f>
        <v>27.507163323782237</v>
      </c>
      <c r="F42" s="28">
        <f t="shared" si="16"/>
        <v>0.5730659025787965</v>
      </c>
      <c r="G42" s="28">
        <f t="shared" si="16"/>
        <v>1.4326647564469914</v>
      </c>
      <c r="H42" s="28">
        <f t="shared" si="16"/>
        <v>2.5787965616045847</v>
      </c>
      <c r="I42" s="28">
        <f t="shared" si="16"/>
        <v>3.0085959885386817</v>
      </c>
      <c r="J42" s="28">
        <f t="shared" si="16"/>
        <v>0</v>
      </c>
      <c r="K42" s="28">
        <f t="shared" si="16"/>
        <v>21.776504297994272</v>
      </c>
      <c r="L42" s="28">
        <f t="shared" si="16"/>
        <v>16.045845272206304</v>
      </c>
      <c r="M42" s="28">
        <f t="shared" si="16"/>
        <v>3.7249283667621778</v>
      </c>
      <c r="N42" s="28">
        <f t="shared" si="16"/>
        <v>0</v>
      </c>
      <c r="O42" s="28">
        <f t="shared" si="16"/>
        <v>0.14326647564469913</v>
      </c>
      <c r="P42" s="28">
        <f t="shared" si="16"/>
        <v>2.148997134670487</v>
      </c>
      <c r="Q42" s="28">
        <f t="shared" si="16"/>
        <v>0</v>
      </c>
      <c r="R42" s="28">
        <f t="shared" si="16"/>
        <v>0</v>
      </c>
      <c r="S42" s="28">
        <f t="shared" si="16"/>
        <v>0.28653295128939826</v>
      </c>
      <c r="T42" s="28">
        <f t="shared" si="16"/>
        <v>9.312320916905444</v>
      </c>
      <c r="U42" s="72">
        <f t="shared" si="16"/>
        <v>9.312320916905444</v>
      </c>
    </row>
    <row r="43" spans="1:21" ht="18.75" customHeight="1">
      <c r="A43" s="150"/>
      <c r="B43" s="14" t="s">
        <v>87</v>
      </c>
      <c r="C43" s="15">
        <v>12547</v>
      </c>
      <c r="D43" s="16">
        <v>244</v>
      </c>
      <c r="E43" s="16">
        <v>3597</v>
      </c>
      <c r="F43" s="16">
        <v>46</v>
      </c>
      <c r="G43" s="16">
        <v>219</v>
      </c>
      <c r="H43" s="16">
        <v>183</v>
      </c>
      <c r="I43" s="16">
        <v>277</v>
      </c>
      <c r="J43" s="16">
        <v>0</v>
      </c>
      <c r="K43" s="16">
        <v>3243</v>
      </c>
      <c r="L43" s="16">
        <v>2150</v>
      </c>
      <c r="M43" s="16">
        <v>475</v>
      </c>
      <c r="N43" s="16">
        <v>10</v>
      </c>
      <c r="O43" s="16">
        <v>45</v>
      </c>
      <c r="P43" s="16">
        <v>326</v>
      </c>
      <c r="Q43" s="16">
        <v>0</v>
      </c>
      <c r="R43" s="16">
        <v>5</v>
      </c>
      <c r="S43" s="16">
        <v>19</v>
      </c>
      <c r="T43" s="16">
        <v>892</v>
      </c>
      <c r="U43" s="73">
        <v>816</v>
      </c>
    </row>
    <row r="44" spans="1:21" ht="18.75" customHeight="1">
      <c r="A44" s="150"/>
      <c r="B44" s="60" t="s">
        <v>24</v>
      </c>
      <c r="C44" s="7">
        <v>100.00000000000003</v>
      </c>
      <c r="D44" s="7">
        <f>D43/12547*100</f>
        <v>1.9446879732206903</v>
      </c>
      <c r="E44" s="7">
        <f aca="true" t="shared" si="17" ref="E44:U44">E43/12547*100</f>
        <v>28.668207539650915</v>
      </c>
      <c r="F44" s="7">
        <f t="shared" si="17"/>
        <v>0.3666215031481629</v>
      </c>
      <c r="G44" s="7">
        <f t="shared" si="17"/>
        <v>1.745437156292341</v>
      </c>
      <c r="H44" s="7">
        <f t="shared" si="17"/>
        <v>1.4585159799155176</v>
      </c>
      <c r="I44" s="7">
        <f t="shared" si="17"/>
        <v>2.2076990515661117</v>
      </c>
      <c r="J44" s="7">
        <f t="shared" si="17"/>
        <v>0</v>
      </c>
      <c r="K44" s="7">
        <f t="shared" si="17"/>
        <v>25.846815971945485</v>
      </c>
      <c r="L44" s="7">
        <f t="shared" si="17"/>
        <v>17.135570255838047</v>
      </c>
      <c r="M44" s="7">
        <f t="shared" si="17"/>
        <v>3.7857655216386386</v>
      </c>
      <c r="N44" s="7">
        <f t="shared" si="17"/>
        <v>0.07970032677133976</v>
      </c>
      <c r="O44" s="7">
        <f t="shared" si="17"/>
        <v>0.3586514704710289</v>
      </c>
      <c r="P44" s="7">
        <f t="shared" si="17"/>
        <v>2.598230652745676</v>
      </c>
      <c r="Q44" s="7">
        <f t="shared" si="17"/>
        <v>0</v>
      </c>
      <c r="R44" s="7">
        <f t="shared" si="17"/>
        <v>0.03985016338566988</v>
      </c>
      <c r="S44" s="7">
        <f t="shared" si="17"/>
        <v>0.15143062086554554</v>
      </c>
      <c r="T44" s="7">
        <f t="shared" si="17"/>
        <v>7.109269148003507</v>
      </c>
      <c r="U44" s="75">
        <f t="shared" si="17"/>
        <v>6.503546664541325</v>
      </c>
    </row>
    <row r="45" spans="1:21" ht="18.75" customHeight="1">
      <c r="A45" s="149" t="s">
        <v>125</v>
      </c>
      <c r="B45" s="30" t="s">
        <v>86</v>
      </c>
      <c r="C45" s="53">
        <v>737</v>
      </c>
      <c r="D45" s="31">
        <v>20</v>
      </c>
      <c r="E45" s="31">
        <v>183</v>
      </c>
      <c r="F45" s="31">
        <v>6</v>
      </c>
      <c r="G45" s="31">
        <v>13</v>
      </c>
      <c r="H45" s="31">
        <v>23</v>
      </c>
      <c r="I45" s="31">
        <v>24</v>
      </c>
      <c r="J45" s="31">
        <v>0</v>
      </c>
      <c r="K45" s="31">
        <v>190</v>
      </c>
      <c r="L45" s="31">
        <v>111</v>
      </c>
      <c r="M45" s="31">
        <v>26</v>
      </c>
      <c r="N45" s="31">
        <v>0</v>
      </c>
      <c r="O45" s="31">
        <v>4</v>
      </c>
      <c r="P45" s="31">
        <v>16</v>
      </c>
      <c r="Q45" s="31">
        <v>0</v>
      </c>
      <c r="R45" s="31">
        <v>0</v>
      </c>
      <c r="S45" s="31">
        <v>0</v>
      </c>
      <c r="T45" s="31">
        <v>62</v>
      </c>
      <c r="U45" s="76">
        <v>59</v>
      </c>
    </row>
    <row r="46" spans="1:21" ht="18.75" customHeight="1">
      <c r="A46" s="150"/>
      <c r="B46" s="59" t="s">
        <v>24</v>
      </c>
      <c r="C46" s="28">
        <v>100</v>
      </c>
      <c r="D46" s="28">
        <f>D45/737*100</f>
        <v>2.7137042062415198</v>
      </c>
      <c r="E46" s="28">
        <f aca="true" t="shared" si="18" ref="E46:U46">E45/737*100</f>
        <v>24.830393487109905</v>
      </c>
      <c r="F46" s="28">
        <f t="shared" si="18"/>
        <v>0.8141112618724559</v>
      </c>
      <c r="G46" s="28">
        <f t="shared" si="18"/>
        <v>1.7639077340569878</v>
      </c>
      <c r="H46" s="28">
        <f t="shared" si="18"/>
        <v>3.1207598371777476</v>
      </c>
      <c r="I46" s="28">
        <f t="shared" si="18"/>
        <v>3.2564450474898234</v>
      </c>
      <c r="J46" s="28">
        <f t="shared" si="18"/>
        <v>0</v>
      </c>
      <c r="K46" s="28">
        <f t="shared" si="18"/>
        <v>25.780189959294436</v>
      </c>
      <c r="L46" s="28">
        <f t="shared" si="18"/>
        <v>15.061058344640434</v>
      </c>
      <c r="M46" s="28">
        <f t="shared" si="18"/>
        <v>3.5278154681139755</v>
      </c>
      <c r="N46" s="28">
        <f t="shared" si="18"/>
        <v>0</v>
      </c>
      <c r="O46" s="28">
        <f t="shared" si="18"/>
        <v>0.5427408412483039</v>
      </c>
      <c r="P46" s="28">
        <f t="shared" si="18"/>
        <v>2.1709633649932156</v>
      </c>
      <c r="Q46" s="28">
        <f t="shared" si="18"/>
        <v>0</v>
      </c>
      <c r="R46" s="28">
        <f t="shared" si="18"/>
        <v>0</v>
      </c>
      <c r="S46" s="28">
        <f t="shared" si="18"/>
        <v>0</v>
      </c>
      <c r="T46" s="28">
        <f t="shared" si="18"/>
        <v>8.412483039348711</v>
      </c>
      <c r="U46" s="72">
        <f t="shared" si="18"/>
        <v>8.005427408412483</v>
      </c>
    </row>
    <row r="47" spans="1:21" ht="18.75" customHeight="1">
      <c r="A47" s="150"/>
      <c r="B47" s="14" t="s">
        <v>87</v>
      </c>
      <c r="C47" s="15">
        <v>12584</v>
      </c>
      <c r="D47" s="16">
        <v>223</v>
      </c>
      <c r="E47" s="16">
        <v>3657</v>
      </c>
      <c r="F47" s="16">
        <v>35</v>
      </c>
      <c r="G47" s="16">
        <v>216</v>
      </c>
      <c r="H47" s="16">
        <v>219</v>
      </c>
      <c r="I47" s="16">
        <v>312</v>
      </c>
      <c r="J47" s="16">
        <v>0</v>
      </c>
      <c r="K47" s="16">
        <v>3265</v>
      </c>
      <c r="L47" s="16">
        <v>2059</v>
      </c>
      <c r="M47" s="16">
        <v>444</v>
      </c>
      <c r="N47" s="16">
        <v>11</v>
      </c>
      <c r="O47" s="16">
        <v>48</v>
      </c>
      <c r="P47" s="16">
        <v>303</v>
      </c>
      <c r="Q47" s="16">
        <v>0</v>
      </c>
      <c r="R47" s="16">
        <v>2</v>
      </c>
      <c r="S47" s="16">
        <v>22</v>
      </c>
      <c r="T47" s="16">
        <v>953</v>
      </c>
      <c r="U47" s="73">
        <v>815</v>
      </c>
    </row>
    <row r="48" spans="1:21" ht="18.75" customHeight="1">
      <c r="A48" s="150"/>
      <c r="B48" s="61" t="s">
        <v>24</v>
      </c>
      <c r="C48" s="52">
        <v>100.00000000000003</v>
      </c>
      <c r="D48" s="52">
        <f>D47/12584*100</f>
        <v>1.7720915448188175</v>
      </c>
      <c r="E48" s="52">
        <f aca="true" t="shared" si="19" ref="E48:U48">E47/12584*100</f>
        <v>29.06071201525747</v>
      </c>
      <c r="F48" s="52">
        <f t="shared" si="19"/>
        <v>0.2781309599491417</v>
      </c>
      <c r="G48" s="52">
        <f t="shared" si="19"/>
        <v>1.7164653528289893</v>
      </c>
      <c r="H48" s="52">
        <f t="shared" si="19"/>
        <v>1.7403051493960584</v>
      </c>
      <c r="I48" s="52">
        <f t="shared" si="19"/>
        <v>2.479338842975207</v>
      </c>
      <c r="J48" s="52">
        <f t="shared" si="19"/>
        <v>0</v>
      </c>
      <c r="K48" s="52">
        <f t="shared" si="19"/>
        <v>25.945645263827082</v>
      </c>
      <c r="L48" s="52">
        <f t="shared" si="19"/>
        <v>16.362047043865225</v>
      </c>
      <c r="M48" s="52">
        <f t="shared" si="19"/>
        <v>3.5282898919262555</v>
      </c>
      <c r="N48" s="52">
        <f t="shared" si="19"/>
        <v>0.08741258741258741</v>
      </c>
      <c r="O48" s="52">
        <f t="shared" si="19"/>
        <v>0.3814367450731087</v>
      </c>
      <c r="P48" s="52">
        <f t="shared" si="19"/>
        <v>2.4078194532739987</v>
      </c>
      <c r="Q48" s="52">
        <f t="shared" si="19"/>
        <v>0</v>
      </c>
      <c r="R48" s="52">
        <f t="shared" si="19"/>
        <v>0.01589319771137953</v>
      </c>
      <c r="S48" s="52">
        <f t="shared" si="19"/>
        <v>0.17482517482517482</v>
      </c>
      <c r="T48" s="52">
        <f t="shared" si="19"/>
        <v>7.573108709472345</v>
      </c>
      <c r="U48" s="74">
        <f t="shared" si="19"/>
        <v>6.476478067387157</v>
      </c>
    </row>
    <row r="49" spans="1:22" ht="18.75" customHeight="1">
      <c r="A49" s="149" t="s">
        <v>130</v>
      </c>
      <c r="B49" s="24" t="s">
        <v>86</v>
      </c>
      <c r="C49" s="25">
        <v>721</v>
      </c>
      <c r="D49" s="26">
        <v>12</v>
      </c>
      <c r="E49" s="26">
        <v>183</v>
      </c>
      <c r="F49" s="26">
        <v>3</v>
      </c>
      <c r="G49" s="26">
        <v>17</v>
      </c>
      <c r="H49" s="26">
        <v>15</v>
      </c>
      <c r="I49" s="26">
        <v>29</v>
      </c>
      <c r="J49" s="26">
        <v>0</v>
      </c>
      <c r="K49" s="26">
        <v>185</v>
      </c>
      <c r="L49" s="26">
        <v>115</v>
      </c>
      <c r="M49" s="26">
        <v>28</v>
      </c>
      <c r="N49" s="26">
        <v>0</v>
      </c>
      <c r="O49" s="26">
        <v>2</v>
      </c>
      <c r="P49" s="26">
        <v>18</v>
      </c>
      <c r="Q49" s="26">
        <v>0</v>
      </c>
      <c r="R49" s="26">
        <v>0</v>
      </c>
      <c r="S49" s="26">
        <v>2</v>
      </c>
      <c r="T49" s="26">
        <v>59</v>
      </c>
      <c r="U49" s="71">
        <v>53</v>
      </c>
      <c r="V49" s="6"/>
    </row>
    <row r="50" spans="1:21" ht="18.75" customHeight="1">
      <c r="A50" s="150"/>
      <c r="B50" s="59" t="s">
        <v>24</v>
      </c>
      <c r="C50" s="28">
        <v>100</v>
      </c>
      <c r="D50" s="28">
        <f aca="true" t="shared" si="20" ref="D50:U50">D49/721*100</f>
        <v>1.6643550624133148</v>
      </c>
      <c r="E50" s="28">
        <f t="shared" si="20"/>
        <v>25.381414701803052</v>
      </c>
      <c r="F50" s="28">
        <f t="shared" si="20"/>
        <v>0.4160887656033287</v>
      </c>
      <c r="G50" s="28">
        <f t="shared" si="20"/>
        <v>2.3578363384188625</v>
      </c>
      <c r="H50" s="28">
        <f t="shared" si="20"/>
        <v>2.0804438280166435</v>
      </c>
      <c r="I50" s="28">
        <f t="shared" si="20"/>
        <v>4.0221914008321775</v>
      </c>
      <c r="J50" s="28">
        <f t="shared" si="20"/>
        <v>0</v>
      </c>
      <c r="K50" s="28">
        <f t="shared" si="20"/>
        <v>25.65880721220527</v>
      </c>
      <c r="L50" s="28">
        <f t="shared" si="20"/>
        <v>15.950069348127602</v>
      </c>
      <c r="M50" s="28">
        <f t="shared" si="20"/>
        <v>3.8834951456310676</v>
      </c>
      <c r="N50" s="28">
        <f t="shared" si="20"/>
        <v>0</v>
      </c>
      <c r="O50" s="28">
        <f t="shared" si="20"/>
        <v>0.27739251040221913</v>
      </c>
      <c r="P50" s="28">
        <f t="shared" si="20"/>
        <v>2.496532593619972</v>
      </c>
      <c r="Q50" s="28">
        <f t="shared" si="20"/>
        <v>0</v>
      </c>
      <c r="R50" s="28">
        <f t="shared" si="20"/>
        <v>0</v>
      </c>
      <c r="S50" s="28">
        <f t="shared" si="20"/>
        <v>0.27739251040221913</v>
      </c>
      <c r="T50" s="28">
        <f t="shared" si="20"/>
        <v>8.183079056865465</v>
      </c>
      <c r="U50" s="72">
        <f t="shared" si="20"/>
        <v>7.350901525658807</v>
      </c>
    </row>
    <row r="51" spans="1:22" ht="18.75" customHeight="1">
      <c r="A51" s="150"/>
      <c r="B51" s="14" t="s">
        <v>87</v>
      </c>
      <c r="C51" s="15">
        <v>12731</v>
      </c>
      <c r="D51" s="16">
        <v>223</v>
      </c>
      <c r="E51" s="16">
        <v>3687</v>
      </c>
      <c r="F51" s="16">
        <v>35</v>
      </c>
      <c r="G51" s="16">
        <v>211</v>
      </c>
      <c r="H51" s="16">
        <v>208</v>
      </c>
      <c r="I51" s="16">
        <v>359</v>
      </c>
      <c r="J51" s="16">
        <v>0</v>
      </c>
      <c r="K51" s="16">
        <v>3284</v>
      </c>
      <c r="L51" s="16">
        <v>2120</v>
      </c>
      <c r="M51" s="16">
        <v>414</v>
      </c>
      <c r="N51" s="16">
        <v>12</v>
      </c>
      <c r="O51" s="16">
        <v>57</v>
      </c>
      <c r="P51" s="16">
        <v>324</v>
      </c>
      <c r="Q51" s="16">
        <v>2</v>
      </c>
      <c r="R51" s="16">
        <v>3</v>
      </c>
      <c r="S51" s="16">
        <v>29</v>
      </c>
      <c r="T51" s="16">
        <v>945</v>
      </c>
      <c r="U51" s="73">
        <v>818</v>
      </c>
      <c r="V51" s="6"/>
    </row>
    <row r="52" spans="1:21" ht="18.75" customHeight="1" thickBot="1">
      <c r="A52" s="173"/>
      <c r="B52" s="114" t="s">
        <v>24</v>
      </c>
      <c r="C52" s="115">
        <v>100.00000000000003</v>
      </c>
      <c r="D52" s="115">
        <f aca="true" t="shared" si="21" ref="D52:U52">D51/12731*100</f>
        <v>1.7516298798209096</v>
      </c>
      <c r="E52" s="115">
        <f t="shared" si="21"/>
        <v>28.960804335873064</v>
      </c>
      <c r="F52" s="115">
        <f t="shared" si="21"/>
        <v>0.27491948786426834</v>
      </c>
      <c r="G52" s="115">
        <f t="shared" si="21"/>
        <v>1.6573717696960175</v>
      </c>
      <c r="H52" s="115">
        <f t="shared" si="21"/>
        <v>1.6338072421647944</v>
      </c>
      <c r="I52" s="115">
        <f t="shared" si="21"/>
        <v>2.819888461236352</v>
      </c>
      <c r="J52" s="115">
        <f t="shared" si="21"/>
        <v>0</v>
      </c>
      <c r="K52" s="115">
        <f t="shared" si="21"/>
        <v>25.795302804178778</v>
      </c>
      <c r="L52" s="115">
        <f t="shared" si="21"/>
        <v>16.65226612206425</v>
      </c>
      <c r="M52" s="115">
        <f t="shared" si="21"/>
        <v>3.251904799308774</v>
      </c>
      <c r="N52" s="115">
        <f t="shared" si="21"/>
        <v>0.094258110124892</v>
      </c>
      <c r="O52" s="115">
        <f t="shared" si="21"/>
        <v>0.447726023093237</v>
      </c>
      <c r="P52" s="115">
        <f t="shared" si="21"/>
        <v>2.5449689733720837</v>
      </c>
      <c r="Q52" s="115">
        <f t="shared" si="21"/>
        <v>0.015709685020815333</v>
      </c>
      <c r="R52" s="115">
        <f t="shared" si="21"/>
        <v>0.023564527531223</v>
      </c>
      <c r="S52" s="115">
        <f t="shared" si="21"/>
        <v>0.22779043280182232</v>
      </c>
      <c r="T52" s="115">
        <f t="shared" si="21"/>
        <v>7.422826172335245</v>
      </c>
      <c r="U52" s="98">
        <f t="shared" si="21"/>
        <v>6.42526117351347</v>
      </c>
    </row>
    <row r="53" spans="1:22" ht="18.75" customHeight="1">
      <c r="A53" s="149" t="s">
        <v>132</v>
      </c>
      <c r="B53" s="24" t="s">
        <v>86</v>
      </c>
      <c r="C53" s="25">
        <f>SUM(D53:U53)</f>
        <v>747</v>
      </c>
      <c r="D53" s="26">
        <v>14</v>
      </c>
      <c r="E53" s="26">
        <v>205</v>
      </c>
      <c r="F53" s="26">
        <v>2</v>
      </c>
      <c r="G53" s="26">
        <v>17</v>
      </c>
      <c r="H53" s="26">
        <v>13</v>
      </c>
      <c r="I53" s="26">
        <v>30</v>
      </c>
      <c r="J53" s="26">
        <v>0</v>
      </c>
      <c r="K53" s="26">
        <v>194</v>
      </c>
      <c r="L53" s="26">
        <v>92</v>
      </c>
      <c r="M53" s="26">
        <v>28</v>
      </c>
      <c r="N53" s="26">
        <v>1</v>
      </c>
      <c r="O53" s="26">
        <v>5</v>
      </c>
      <c r="P53" s="26">
        <v>22</v>
      </c>
      <c r="Q53" s="26">
        <v>0</v>
      </c>
      <c r="R53" s="26">
        <v>0</v>
      </c>
      <c r="S53" s="26">
        <v>1</v>
      </c>
      <c r="T53" s="26">
        <v>75</v>
      </c>
      <c r="U53" s="71">
        <v>48</v>
      </c>
      <c r="V53" s="6"/>
    </row>
    <row r="54" spans="1:21" ht="18.75" customHeight="1">
      <c r="A54" s="150"/>
      <c r="B54" s="59" t="s">
        <v>24</v>
      </c>
      <c r="C54" s="28">
        <v>100</v>
      </c>
      <c r="D54" s="28">
        <f aca="true" t="shared" si="22" ref="D54:U54">D53/721*100</f>
        <v>1.9417475728155338</v>
      </c>
      <c r="E54" s="28">
        <f t="shared" si="22"/>
        <v>28.43273231622746</v>
      </c>
      <c r="F54" s="28">
        <f t="shared" si="22"/>
        <v>0.27739251040221913</v>
      </c>
      <c r="G54" s="28">
        <f t="shared" si="22"/>
        <v>2.3578363384188625</v>
      </c>
      <c r="H54" s="28">
        <f t="shared" si="22"/>
        <v>1.8030513176144243</v>
      </c>
      <c r="I54" s="28">
        <f t="shared" si="22"/>
        <v>4.160887656033287</v>
      </c>
      <c r="J54" s="28">
        <f t="shared" si="22"/>
        <v>0</v>
      </c>
      <c r="K54" s="28">
        <f t="shared" si="22"/>
        <v>26.907073509015255</v>
      </c>
      <c r="L54" s="28">
        <f t="shared" si="22"/>
        <v>12.76005547850208</v>
      </c>
      <c r="M54" s="28">
        <f t="shared" si="22"/>
        <v>3.8834951456310676</v>
      </c>
      <c r="N54" s="28">
        <f t="shared" si="22"/>
        <v>0.13869625520110956</v>
      </c>
      <c r="O54" s="28">
        <f t="shared" si="22"/>
        <v>0.6934812760055479</v>
      </c>
      <c r="P54" s="28">
        <f t="shared" si="22"/>
        <v>3.0513176144244105</v>
      </c>
      <c r="Q54" s="28">
        <f t="shared" si="22"/>
        <v>0</v>
      </c>
      <c r="R54" s="28">
        <f t="shared" si="22"/>
        <v>0</v>
      </c>
      <c r="S54" s="28">
        <f t="shared" si="22"/>
        <v>0.13869625520110956</v>
      </c>
      <c r="T54" s="28">
        <f t="shared" si="22"/>
        <v>10.402219140083217</v>
      </c>
      <c r="U54" s="72">
        <f t="shared" si="22"/>
        <v>6.657420249653259</v>
      </c>
    </row>
    <row r="55" spans="1:22" ht="18.75" customHeight="1">
      <c r="A55" s="150"/>
      <c r="B55" s="14" t="s">
        <v>87</v>
      </c>
      <c r="C55" s="25">
        <f>SUM(D55:U55)</f>
        <v>12864</v>
      </c>
      <c r="D55" s="16">
        <v>231</v>
      </c>
      <c r="E55" s="16">
        <v>3604</v>
      </c>
      <c r="F55" s="16">
        <v>43</v>
      </c>
      <c r="G55" s="16">
        <v>235</v>
      </c>
      <c r="H55" s="16">
        <v>201</v>
      </c>
      <c r="I55" s="16">
        <v>358</v>
      </c>
      <c r="J55" s="16">
        <v>1</v>
      </c>
      <c r="K55" s="16">
        <v>3350</v>
      </c>
      <c r="L55" s="16">
        <v>2169</v>
      </c>
      <c r="M55" s="16">
        <v>420</v>
      </c>
      <c r="N55" s="16">
        <v>20</v>
      </c>
      <c r="O55" s="16">
        <v>58</v>
      </c>
      <c r="P55" s="16">
        <v>354</v>
      </c>
      <c r="Q55" s="16">
        <v>0</v>
      </c>
      <c r="R55" s="16">
        <v>6</v>
      </c>
      <c r="S55" s="16">
        <v>18</v>
      </c>
      <c r="T55" s="16">
        <v>1042</v>
      </c>
      <c r="U55" s="73">
        <v>754</v>
      </c>
      <c r="V55" s="6"/>
    </row>
    <row r="56" spans="1:21" ht="18.75" customHeight="1" thickBot="1">
      <c r="A56" s="173"/>
      <c r="B56" s="114" t="s">
        <v>24</v>
      </c>
      <c r="C56" s="115">
        <v>100.00000000000003</v>
      </c>
      <c r="D56" s="115">
        <f aca="true" t="shared" si="23" ref="D56:U56">D55/12731*100</f>
        <v>1.814468619904171</v>
      </c>
      <c r="E56" s="115">
        <f t="shared" si="23"/>
        <v>28.308852407509228</v>
      </c>
      <c r="F56" s="115">
        <f t="shared" si="23"/>
        <v>0.3377582279475297</v>
      </c>
      <c r="G56" s="115">
        <f t="shared" si="23"/>
        <v>1.8458879899458016</v>
      </c>
      <c r="H56" s="115">
        <f t="shared" si="23"/>
        <v>1.5788233445919408</v>
      </c>
      <c r="I56" s="115">
        <f t="shared" si="23"/>
        <v>2.8120336187259447</v>
      </c>
      <c r="J56" s="115">
        <f t="shared" si="23"/>
        <v>0.007854842510407667</v>
      </c>
      <c r="K56" s="115">
        <f t="shared" si="23"/>
        <v>26.31372240986568</v>
      </c>
      <c r="L56" s="115">
        <f t="shared" si="23"/>
        <v>17.03715340507423</v>
      </c>
      <c r="M56" s="115">
        <f t="shared" si="23"/>
        <v>3.29903385437122</v>
      </c>
      <c r="N56" s="115">
        <f t="shared" si="23"/>
        <v>0.15709685020815334</v>
      </c>
      <c r="O56" s="115">
        <f t="shared" si="23"/>
        <v>0.45558086560364464</v>
      </c>
      <c r="P56" s="115">
        <f t="shared" si="23"/>
        <v>2.780614248684314</v>
      </c>
      <c r="Q56" s="115">
        <f t="shared" si="23"/>
        <v>0</v>
      </c>
      <c r="R56" s="115">
        <f t="shared" si="23"/>
        <v>0.047129055062446</v>
      </c>
      <c r="S56" s="115">
        <f t="shared" si="23"/>
        <v>0.141387165187338</v>
      </c>
      <c r="T56" s="115">
        <f t="shared" si="23"/>
        <v>8.184745895844788</v>
      </c>
      <c r="U56" s="98">
        <f t="shared" si="23"/>
        <v>5.922551252847381</v>
      </c>
    </row>
    <row r="57" spans="1:11" ht="15" customHeight="1">
      <c r="A57" s="57" t="s">
        <v>47</v>
      </c>
      <c r="B57" s="57"/>
      <c r="C57" s="57"/>
      <c r="D57" s="57"/>
      <c r="E57" s="57"/>
      <c r="H57" s="6"/>
      <c r="J57" s="63"/>
      <c r="K57" s="63"/>
    </row>
    <row r="58" spans="1:12" ht="15" customHeight="1" thickBot="1">
      <c r="A58" s="43"/>
      <c r="B58" s="43"/>
      <c r="C58" s="43"/>
      <c r="D58" s="43"/>
      <c r="E58" s="3" t="s">
        <v>93</v>
      </c>
      <c r="L58" s="68"/>
    </row>
    <row r="59" spans="1:6" ht="15" customHeight="1">
      <c r="A59" s="162" t="s">
        <v>97</v>
      </c>
      <c r="B59" s="163"/>
      <c r="C59" s="157" t="s">
        <v>13</v>
      </c>
      <c r="D59" s="160"/>
      <c r="E59" s="161"/>
      <c r="F59" s="4"/>
    </row>
    <row r="60" spans="1:5" ht="15" customHeight="1">
      <c r="A60" s="164"/>
      <c r="B60" s="165"/>
      <c r="C60" s="158"/>
      <c r="D60" s="158" t="s">
        <v>25</v>
      </c>
      <c r="E60" s="155" t="s">
        <v>26</v>
      </c>
    </row>
    <row r="61" spans="1:5" ht="15" customHeight="1" thickBot="1">
      <c r="A61" s="70"/>
      <c r="B61" s="49" t="s">
        <v>92</v>
      </c>
      <c r="C61" s="174"/>
      <c r="D61" s="174"/>
      <c r="E61" s="175"/>
    </row>
    <row r="62" spans="1:5" s="2" customFormat="1" ht="18.75" customHeight="1">
      <c r="A62" s="149" t="s">
        <v>84</v>
      </c>
      <c r="B62" s="30" t="s">
        <v>86</v>
      </c>
      <c r="C62" s="26">
        <v>203</v>
      </c>
      <c r="D62" s="26">
        <v>199</v>
      </c>
      <c r="E62" s="71">
        <v>4</v>
      </c>
    </row>
    <row r="63" spans="1:5" s="2" customFormat="1" ht="18.75" customHeight="1">
      <c r="A63" s="150"/>
      <c r="B63" s="32" t="s">
        <v>49</v>
      </c>
      <c r="C63" s="29">
        <f>C62/203*100</f>
        <v>100</v>
      </c>
      <c r="D63" s="29">
        <f>D62/$C$62*100</f>
        <v>98.0295566502463</v>
      </c>
      <c r="E63" s="72">
        <f>E62/$C$62*100</f>
        <v>1.9704433497536946</v>
      </c>
    </row>
    <row r="64" spans="1:5" ht="18.75" customHeight="1">
      <c r="A64" s="150"/>
      <c r="B64" s="14" t="s">
        <v>87</v>
      </c>
      <c r="C64" s="16">
        <v>3552</v>
      </c>
      <c r="D64" s="16">
        <v>3466</v>
      </c>
      <c r="E64" s="73">
        <v>86</v>
      </c>
    </row>
    <row r="65" spans="1:5" ht="18.75" customHeight="1">
      <c r="A65" s="150"/>
      <c r="B65" s="46" t="s">
        <v>49</v>
      </c>
      <c r="C65" s="47">
        <f>C64/3552*100</f>
        <v>100</v>
      </c>
      <c r="D65" s="47">
        <f>D64/3552*100</f>
        <v>97.57882882882883</v>
      </c>
      <c r="E65" s="74">
        <f>E64/3552*100</f>
        <v>2.421171171171171</v>
      </c>
    </row>
    <row r="66" spans="1:5" s="2" customFormat="1" ht="18.75" customHeight="1">
      <c r="A66" s="149" t="s">
        <v>85</v>
      </c>
      <c r="B66" s="24" t="s">
        <v>86</v>
      </c>
      <c r="C66" s="26">
        <v>193</v>
      </c>
      <c r="D66" s="26">
        <v>188</v>
      </c>
      <c r="E66" s="71">
        <v>5</v>
      </c>
    </row>
    <row r="67" spans="1:5" s="2" customFormat="1" ht="18.75" customHeight="1">
      <c r="A67" s="150"/>
      <c r="B67" s="32" t="s">
        <v>49</v>
      </c>
      <c r="C67" s="29">
        <f>C66/193*100</f>
        <v>100</v>
      </c>
      <c r="D67" s="29">
        <f>D66/193*100</f>
        <v>97.40932642487047</v>
      </c>
      <c r="E67" s="72">
        <f>E66/193*100</f>
        <v>2.5906735751295336</v>
      </c>
    </row>
    <row r="68" spans="1:5" ht="18.75" customHeight="1">
      <c r="A68" s="150"/>
      <c r="B68" s="14" t="s">
        <v>87</v>
      </c>
      <c r="C68" s="16">
        <v>3437</v>
      </c>
      <c r="D68" s="16">
        <v>3349</v>
      </c>
      <c r="E68" s="73">
        <v>88</v>
      </c>
    </row>
    <row r="69" spans="1:5" ht="18.75" customHeight="1">
      <c r="A69" s="150"/>
      <c r="B69" s="46" t="s">
        <v>49</v>
      </c>
      <c r="C69" s="47">
        <f>C68/3437*100</f>
        <v>100</v>
      </c>
      <c r="D69" s="47">
        <f>D68/3437*100</f>
        <v>97.43962758219378</v>
      </c>
      <c r="E69" s="74">
        <f>E68/3437*100</f>
        <v>2.5603724178062266</v>
      </c>
    </row>
    <row r="70" spans="1:5" ht="18.75" customHeight="1">
      <c r="A70" s="149" t="s">
        <v>107</v>
      </c>
      <c r="B70" s="24" t="s">
        <v>86</v>
      </c>
      <c r="C70" s="26">
        <f>+D70+E70</f>
        <v>162</v>
      </c>
      <c r="D70" s="26">
        <v>159</v>
      </c>
      <c r="E70" s="71">
        <v>3</v>
      </c>
    </row>
    <row r="71" spans="1:5" ht="18.75" customHeight="1">
      <c r="A71" s="150"/>
      <c r="B71" s="32" t="s">
        <v>49</v>
      </c>
      <c r="C71" s="29">
        <f>+D71+E71</f>
        <v>100</v>
      </c>
      <c r="D71" s="29">
        <f>+D70/C70*100</f>
        <v>98.14814814814815</v>
      </c>
      <c r="E71" s="72">
        <f>+E70/C70*100</f>
        <v>1.8518518518518516</v>
      </c>
    </row>
    <row r="72" spans="1:5" ht="18.75" customHeight="1">
      <c r="A72" s="150"/>
      <c r="B72" s="14" t="s">
        <v>87</v>
      </c>
      <c r="C72" s="16">
        <f>+D72+E72</f>
        <v>3489</v>
      </c>
      <c r="D72" s="16">
        <v>3401</v>
      </c>
      <c r="E72" s="73">
        <v>88</v>
      </c>
    </row>
    <row r="73" spans="1:5" ht="18.75" customHeight="1">
      <c r="A73" s="151"/>
      <c r="B73" s="5" t="s">
        <v>49</v>
      </c>
      <c r="C73" s="1">
        <f>+D73+E73</f>
        <v>100</v>
      </c>
      <c r="D73" s="1">
        <f>+D72/C72*100</f>
        <v>97.47778733161364</v>
      </c>
      <c r="E73" s="75">
        <f>+E72/C72*100</f>
        <v>2.522212668386357</v>
      </c>
    </row>
    <row r="74" spans="1:5" ht="18.75" customHeight="1">
      <c r="A74" s="149" t="s">
        <v>108</v>
      </c>
      <c r="B74" s="24" t="s">
        <v>86</v>
      </c>
      <c r="C74" s="26">
        <v>184</v>
      </c>
      <c r="D74" s="26">
        <v>175</v>
      </c>
      <c r="E74" s="71">
        <v>9</v>
      </c>
    </row>
    <row r="75" spans="1:5" ht="18.75" customHeight="1">
      <c r="A75" s="150"/>
      <c r="B75" s="32" t="s">
        <v>49</v>
      </c>
      <c r="C75" s="29">
        <v>100</v>
      </c>
      <c r="D75" s="29">
        <v>95.1086956521739</v>
      </c>
      <c r="E75" s="72">
        <v>4.891304347826087</v>
      </c>
    </row>
    <row r="76" spans="1:5" ht="18.75" customHeight="1">
      <c r="A76" s="150"/>
      <c r="B76" s="14" t="s">
        <v>87</v>
      </c>
      <c r="C76" s="16">
        <v>3494</v>
      </c>
      <c r="D76" s="16">
        <v>3408</v>
      </c>
      <c r="E76" s="73">
        <v>86</v>
      </c>
    </row>
    <row r="77" spans="1:5" ht="18.75" customHeight="1">
      <c r="A77" s="151"/>
      <c r="B77" s="5" t="s">
        <v>49</v>
      </c>
      <c r="C77" s="1">
        <v>100</v>
      </c>
      <c r="D77" s="1">
        <v>97.53863766456783</v>
      </c>
      <c r="E77" s="75">
        <v>2.4613623354321694</v>
      </c>
    </row>
    <row r="78" spans="1:5" ht="18.75" customHeight="1">
      <c r="A78" s="150" t="s">
        <v>126</v>
      </c>
      <c r="B78" s="30" t="s">
        <v>86</v>
      </c>
      <c r="C78" s="31">
        <v>202</v>
      </c>
      <c r="D78" s="31">
        <v>196</v>
      </c>
      <c r="E78" s="76">
        <v>6</v>
      </c>
    </row>
    <row r="79" spans="1:5" ht="18.75" customHeight="1">
      <c r="A79" s="150"/>
      <c r="B79" s="32" t="s">
        <v>49</v>
      </c>
      <c r="C79" s="29">
        <v>100</v>
      </c>
      <c r="D79" s="29">
        <f>D78/202*100</f>
        <v>97.02970297029702</v>
      </c>
      <c r="E79" s="72">
        <v>3</v>
      </c>
    </row>
    <row r="80" spans="1:5" ht="18.75" customHeight="1">
      <c r="A80" s="150"/>
      <c r="B80" s="14" t="s">
        <v>87</v>
      </c>
      <c r="C80" s="16">
        <v>3599</v>
      </c>
      <c r="D80" s="16">
        <v>3493</v>
      </c>
      <c r="E80" s="73">
        <v>106</v>
      </c>
    </row>
    <row r="81" spans="1:5" ht="18.75" customHeight="1">
      <c r="A81" s="150"/>
      <c r="B81" s="46" t="s">
        <v>49</v>
      </c>
      <c r="C81" s="47">
        <v>100</v>
      </c>
      <c r="D81" s="47">
        <f>D80/3599*100</f>
        <v>97.05473742706307</v>
      </c>
      <c r="E81" s="74">
        <v>2.9</v>
      </c>
    </row>
    <row r="82" spans="1:5" ht="18.75" customHeight="1">
      <c r="A82" s="149" t="s">
        <v>127</v>
      </c>
      <c r="B82" s="24" t="s">
        <v>86</v>
      </c>
      <c r="C82" s="26">
        <v>192</v>
      </c>
      <c r="D82" s="26">
        <v>184</v>
      </c>
      <c r="E82" s="71">
        <v>8</v>
      </c>
    </row>
    <row r="83" spans="1:5" ht="18.75" customHeight="1">
      <c r="A83" s="150"/>
      <c r="B83" s="32" t="s">
        <v>49</v>
      </c>
      <c r="C83" s="29">
        <v>100</v>
      </c>
      <c r="D83" s="29">
        <f>D82/192*100</f>
        <v>95.83333333333334</v>
      </c>
      <c r="E83" s="72">
        <v>4.2</v>
      </c>
    </row>
    <row r="84" spans="1:5" ht="18.75" customHeight="1">
      <c r="A84" s="150"/>
      <c r="B84" s="14" t="s">
        <v>87</v>
      </c>
      <c r="C84" s="16">
        <v>3597</v>
      </c>
      <c r="D84" s="16">
        <v>3517</v>
      </c>
      <c r="E84" s="73">
        <v>80</v>
      </c>
    </row>
    <row r="85" spans="1:5" ht="18.75" customHeight="1">
      <c r="A85" s="151"/>
      <c r="B85" s="5" t="s">
        <v>49</v>
      </c>
      <c r="C85" s="1">
        <v>100</v>
      </c>
      <c r="D85" s="1">
        <f>D84/3597*100</f>
        <v>97.77592438142896</v>
      </c>
      <c r="E85" s="75">
        <v>2.2</v>
      </c>
    </row>
    <row r="86" spans="1:5" ht="18.75" customHeight="1">
      <c r="A86" s="150" t="s">
        <v>128</v>
      </c>
      <c r="B86" s="30" t="s">
        <v>86</v>
      </c>
      <c r="C86" s="31">
        <v>183</v>
      </c>
      <c r="D86" s="31">
        <v>179</v>
      </c>
      <c r="E86" s="76">
        <v>4</v>
      </c>
    </row>
    <row r="87" spans="1:5" ht="18.75" customHeight="1">
      <c r="A87" s="150"/>
      <c r="B87" s="32" t="s">
        <v>49</v>
      </c>
      <c r="C87" s="29">
        <v>100</v>
      </c>
      <c r="D87" s="29">
        <f>D86/183*100</f>
        <v>97.81420765027322</v>
      </c>
      <c r="E87" s="72">
        <v>2.2</v>
      </c>
    </row>
    <row r="88" spans="1:5" ht="18.75" customHeight="1">
      <c r="A88" s="150"/>
      <c r="B88" s="14" t="s">
        <v>87</v>
      </c>
      <c r="C88" s="16">
        <v>3657</v>
      </c>
      <c r="D88" s="16">
        <v>3559</v>
      </c>
      <c r="E88" s="73">
        <v>98</v>
      </c>
    </row>
    <row r="89" spans="1:5" ht="18.75" customHeight="1">
      <c r="A89" s="150"/>
      <c r="B89" s="46" t="s">
        <v>49</v>
      </c>
      <c r="C89" s="47">
        <v>100</v>
      </c>
      <c r="D89" s="47">
        <f>D88/3657*100</f>
        <v>97.32020782061798</v>
      </c>
      <c r="E89" s="74">
        <v>2.7</v>
      </c>
    </row>
    <row r="90" spans="1:5" ht="18.75" customHeight="1">
      <c r="A90" s="149" t="s">
        <v>130</v>
      </c>
      <c r="B90" s="24" t="s">
        <v>86</v>
      </c>
      <c r="C90" s="26">
        <v>183</v>
      </c>
      <c r="D90" s="26">
        <v>177</v>
      </c>
      <c r="E90" s="71">
        <v>6</v>
      </c>
    </row>
    <row r="91" spans="1:5" ht="18.75" customHeight="1">
      <c r="A91" s="150"/>
      <c r="B91" s="32" t="s">
        <v>49</v>
      </c>
      <c r="C91" s="29">
        <v>100</v>
      </c>
      <c r="D91" s="29">
        <f>D90/183*100</f>
        <v>96.72131147540983</v>
      </c>
      <c r="E91" s="72">
        <v>3.3</v>
      </c>
    </row>
    <row r="92" spans="1:5" ht="18.75" customHeight="1">
      <c r="A92" s="150"/>
      <c r="B92" s="14" t="s">
        <v>87</v>
      </c>
      <c r="C92" s="16">
        <v>3687</v>
      </c>
      <c r="D92" s="16">
        <v>3566</v>
      </c>
      <c r="E92" s="73">
        <v>121</v>
      </c>
    </row>
    <row r="93" spans="1:5" ht="18.75" customHeight="1" thickBot="1">
      <c r="A93" s="173"/>
      <c r="B93" s="48" t="s">
        <v>49</v>
      </c>
      <c r="C93" s="45">
        <v>100</v>
      </c>
      <c r="D93" s="45">
        <f>D92/3687*100</f>
        <v>96.71819907784106</v>
      </c>
      <c r="E93" s="98">
        <v>3.3</v>
      </c>
    </row>
    <row r="94" spans="1:5" ht="18.75" customHeight="1">
      <c r="A94" s="149" t="s">
        <v>132</v>
      </c>
      <c r="B94" s="24" t="s">
        <v>86</v>
      </c>
      <c r="C94" s="26">
        <f>D94+E94</f>
        <v>205</v>
      </c>
      <c r="D94" s="26">
        <v>195</v>
      </c>
      <c r="E94" s="71">
        <v>10</v>
      </c>
    </row>
    <row r="95" spans="1:5" ht="18.75" customHeight="1">
      <c r="A95" s="150"/>
      <c r="B95" s="32" t="s">
        <v>49</v>
      </c>
      <c r="C95" s="29">
        <v>100</v>
      </c>
      <c r="D95" s="29">
        <f>D94/183*100</f>
        <v>106.55737704918033</v>
      </c>
      <c r="E95" s="72">
        <v>3.3</v>
      </c>
    </row>
    <row r="96" spans="1:5" ht="18.75" customHeight="1">
      <c r="A96" s="150"/>
      <c r="B96" s="14" t="s">
        <v>87</v>
      </c>
      <c r="C96" s="16">
        <f>D96+E96</f>
        <v>3604</v>
      </c>
      <c r="D96" s="16">
        <v>3482</v>
      </c>
      <c r="E96" s="73">
        <v>122</v>
      </c>
    </row>
    <row r="97" spans="1:5" ht="18.75" customHeight="1" thickBot="1">
      <c r="A97" s="173"/>
      <c r="B97" s="48" t="s">
        <v>49</v>
      </c>
      <c r="C97" s="45">
        <v>100</v>
      </c>
      <c r="D97" s="45">
        <f>D96/3687*100</f>
        <v>94.43992405749933</v>
      </c>
      <c r="E97" s="98">
        <v>3.3</v>
      </c>
    </row>
    <row r="113" ht="13.5" customHeight="1"/>
    <row r="114" ht="13.5" customHeight="1"/>
    <row r="115" ht="13.5" customHeight="1"/>
    <row r="116" ht="13.5" customHeight="1"/>
    <row r="117" spans="1:24" ht="15" customHeight="1" thickBot="1">
      <c r="A117" s="154" t="s">
        <v>48</v>
      </c>
      <c r="B117" s="154"/>
      <c r="C117" s="154"/>
      <c r="D117" s="154"/>
      <c r="X117" s="4" t="s">
        <v>91</v>
      </c>
    </row>
    <row r="118" spans="1:24" ht="15" customHeight="1">
      <c r="A118" s="162" t="s">
        <v>95</v>
      </c>
      <c r="B118" s="163"/>
      <c r="C118" s="157" t="s">
        <v>25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7"/>
    </row>
    <row r="119" spans="1:24" ht="15" customHeight="1">
      <c r="A119" s="164"/>
      <c r="B119" s="165"/>
      <c r="C119" s="158"/>
      <c r="D119" s="158" t="s">
        <v>27</v>
      </c>
      <c r="E119" s="158" t="s">
        <v>28</v>
      </c>
      <c r="F119" s="158" t="s">
        <v>29</v>
      </c>
      <c r="G119" s="158" t="s">
        <v>30</v>
      </c>
      <c r="H119" s="158" t="s">
        <v>31</v>
      </c>
      <c r="I119" s="158" t="s">
        <v>32</v>
      </c>
      <c r="J119" s="158" t="s">
        <v>33</v>
      </c>
      <c r="K119" s="158" t="s">
        <v>34</v>
      </c>
      <c r="L119" s="158" t="s">
        <v>121</v>
      </c>
      <c r="M119" s="158" t="s">
        <v>35</v>
      </c>
      <c r="N119" s="158" t="s">
        <v>36</v>
      </c>
      <c r="O119" s="158" t="s">
        <v>37</v>
      </c>
      <c r="P119" s="158" t="s">
        <v>38</v>
      </c>
      <c r="Q119" s="158" t="s">
        <v>39</v>
      </c>
      <c r="R119" s="158" t="s">
        <v>40</v>
      </c>
      <c r="S119" s="158" t="s">
        <v>41</v>
      </c>
      <c r="T119" s="158" t="s">
        <v>42</v>
      </c>
      <c r="U119" s="158" t="s">
        <v>43</v>
      </c>
      <c r="V119" s="158" t="s">
        <v>44</v>
      </c>
      <c r="W119" s="158" t="s">
        <v>45</v>
      </c>
      <c r="X119" s="155" t="s">
        <v>46</v>
      </c>
    </row>
    <row r="120" spans="1:24" ht="15" customHeight="1">
      <c r="A120" s="83"/>
      <c r="B120" s="50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5"/>
    </row>
    <row r="121" spans="1:24" ht="21.75" customHeight="1">
      <c r="A121" s="84"/>
      <c r="B121" s="51" t="s">
        <v>92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6"/>
    </row>
    <row r="122" spans="1:24" s="2" customFormat="1" ht="18.75" customHeight="1">
      <c r="A122" s="149" t="s">
        <v>84</v>
      </c>
      <c r="B122" s="30" t="s">
        <v>86</v>
      </c>
      <c r="C122" s="31">
        <v>199</v>
      </c>
      <c r="D122" s="31">
        <v>5</v>
      </c>
      <c r="E122" s="31">
        <v>5</v>
      </c>
      <c r="F122" s="31">
        <v>30</v>
      </c>
      <c r="G122" s="31">
        <v>12</v>
      </c>
      <c r="H122" s="31">
        <v>0</v>
      </c>
      <c r="I122" s="31">
        <v>21</v>
      </c>
      <c r="J122" s="31">
        <v>18</v>
      </c>
      <c r="K122" s="31">
        <v>18</v>
      </c>
      <c r="L122" s="31">
        <v>0</v>
      </c>
      <c r="M122" s="31">
        <v>36</v>
      </c>
      <c r="N122" s="31">
        <v>2</v>
      </c>
      <c r="O122" s="31">
        <v>4</v>
      </c>
      <c r="P122" s="31">
        <v>3</v>
      </c>
      <c r="Q122" s="31">
        <v>3</v>
      </c>
      <c r="R122" s="31">
        <v>7</v>
      </c>
      <c r="S122" s="31">
        <v>3</v>
      </c>
      <c r="T122" s="31">
        <v>2</v>
      </c>
      <c r="U122" s="31">
        <v>7</v>
      </c>
      <c r="V122" s="31">
        <v>5</v>
      </c>
      <c r="W122" s="31">
        <v>6</v>
      </c>
      <c r="X122" s="76">
        <v>12</v>
      </c>
    </row>
    <row r="123" spans="1:24" s="2" customFormat="1" ht="18.75" customHeight="1">
      <c r="A123" s="150"/>
      <c r="B123" s="33" t="s">
        <v>50</v>
      </c>
      <c r="C123" s="29">
        <f>C122/199*100</f>
        <v>100</v>
      </c>
      <c r="D123" s="29">
        <f aca="true" t="shared" si="24" ref="D123:X123">D122/199*100</f>
        <v>2.512562814070352</v>
      </c>
      <c r="E123" s="29">
        <f t="shared" si="24"/>
        <v>2.512562814070352</v>
      </c>
      <c r="F123" s="29">
        <f t="shared" si="24"/>
        <v>15.07537688442211</v>
      </c>
      <c r="G123" s="29">
        <f t="shared" si="24"/>
        <v>6.030150753768844</v>
      </c>
      <c r="H123" s="29">
        <f t="shared" si="24"/>
        <v>0</v>
      </c>
      <c r="I123" s="29">
        <f t="shared" si="24"/>
        <v>10.552763819095476</v>
      </c>
      <c r="J123" s="29">
        <f t="shared" si="24"/>
        <v>9.045226130653267</v>
      </c>
      <c r="K123" s="29">
        <f t="shared" si="24"/>
        <v>9.045226130653267</v>
      </c>
      <c r="L123" s="29">
        <f t="shared" si="24"/>
        <v>0</v>
      </c>
      <c r="M123" s="29">
        <f t="shared" si="24"/>
        <v>18.090452261306535</v>
      </c>
      <c r="N123" s="29">
        <f t="shared" si="24"/>
        <v>1.0050251256281406</v>
      </c>
      <c r="O123" s="29">
        <f t="shared" si="24"/>
        <v>2.0100502512562812</v>
      </c>
      <c r="P123" s="29">
        <f t="shared" si="24"/>
        <v>1.507537688442211</v>
      </c>
      <c r="Q123" s="29">
        <f t="shared" si="24"/>
        <v>1.507537688442211</v>
      </c>
      <c r="R123" s="29">
        <f t="shared" si="24"/>
        <v>3.5175879396984926</v>
      </c>
      <c r="S123" s="29">
        <f t="shared" si="24"/>
        <v>1.507537688442211</v>
      </c>
      <c r="T123" s="29">
        <f t="shared" si="24"/>
        <v>1.0050251256281406</v>
      </c>
      <c r="U123" s="29">
        <f t="shared" si="24"/>
        <v>3.5175879396984926</v>
      </c>
      <c r="V123" s="29">
        <f t="shared" si="24"/>
        <v>2.512562814070352</v>
      </c>
      <c r="W123" s="29">
        <f t="shared" si="24"/>
        <v>3.015075376884422</v>
      </c>
      <c r="X123" s="72">
        <f t="shared" si="24"/>
        <v>6.030150753768844</v>
      </c>
    </row>
    <row r="124" spans="1:24" ht="18.75" customHeight="1">
      <c r="A124" s="150"/>
      <c r="B124" s="14" t="s">
        <v>87</v>
      </c>
      <c r="C124" s="16">
        <v>3466</v>
      </c>
      <c r="D124" s="16">
        <v>57</v>
      </c>
      <c r="E124" s="16">
        <v>118</v>
      </c>
      <c r="F124" s="16">
        <v>614</v>
      </c>
      <c r="G124" s="16">
        <v>289</v>
      </c>
      <c r="H124" s="16">
        <v>137</v>
      </c>
      <c r="I124" s="16">
        <v>289</v>
      </c>
      <c r="J124" s="16">
        <v>239</v>
      </c>
      <c r="K124" s="16">
        <v>262</v>
      </c>
      <c r="L124" s="16">
        <v>8</v>
      </c>
      <c r="M124" s="16">
        <v>589</v>
      </c>
      <c r="N124" s="16">
        <v>19</v>
      </c>
      <c r="O124" s="16">
        <v>112</v>
      </c>
      <c r="P124" s="16">
        <v>48</v>
      </c>
      <c r="Q124" s="16">
        <v>33</v>
      </c>
      <c r="R124" s="16">
        <v>65</v>
      </c>
      <c r="S124" s="16">
        <v>76</v>
      </c>
      <c r="T124" s="16">
        <v>21</v>
      </c>
      <c r="U124" s="16">
        <v>109</v>
      </c>
      <c r="V124" s="16">
        <v>72</v>
      </c>
      <c r="W124" s="16">
        <v>45</v>
      </c>
      <c r="X124" s="73">
        <v>264</v>
      </c>
    </row>
    <row r="125" spans="1:24" ht="18.75" customHeight="1">
      <c r="A125" s="151"/>
      <c r="B125" s="8" t="s">
        <v>50</v>
      </c>
      <c r="C125" s="1">
        <f>C124/3466*100</f>
        <v>100</v>
      </c>
      <c r="D125" s="1">
        <f>D124/3466*100</f>
        <v>1.6445470282746681</v>
      </c>
      <c r="E125" s="1">
        <f aca="true" t="shared" si="25" ref="E125:X125">E124/3466*100</f>
        <v>3.4045008655510673</v>
      </c>
      <c r="F125" s="1">
        <f t="shared" si="25"/>
        <v>17.714945181765724</v>
      </c>
      <c r="G125" s="1">
        <f t="shared" si="25"/>
        <v>8.338141950375071</v>
      </c>
      <c r="H125" s="1">
        <f t="shared" si="25"/>
        <v>3.9526832083092907</v>
      </c>
      <c r="I125" s="1">
        <f t="shared" si="25"/>
        <v>8.338141950375071</v>
      </c>
      <c r="J125" s="1">
        <f t="shared" si="25"/>
        <v>6.895556837853434</v>
      </c>
      <c r="K125" s="1">
        <f t="shared" si="25"/>
        <v>7.559145989613388</v>
      </c>
      <c r="L125" s="1">
        <f t="shared" si="25"/>
        <v>0.2308136180034622</v>
      </c>
      <c r="M125" s="1">
        <f t="shared" si="25"/>
        <v>16.993652625504904</v>
      </c>
      <c r="N125" s="1">
        <f t="shared" si="25"/>
        <v>0.5481823427582228</v>
      </c>
      <c r="O125" s="1">
        <f t="shared" si="25"/>
        <v>3.2313906520484705</v>
      </c>
      <c r="P125" s="1">
        <f t="shared" si="25"/>
        <v>1.3848817080207732</v>
      </c>
      <c r="Q125" s="1">
        <f t="shared" si="25"/>
        <v>0.9521061742642816</v>
      </c>
      <c r="R125" s="1">
        <f t="shared" si="25"/>
        <v>1.8753606462781305</v>
      </c>
      <c r="S125" s="1">
        <f t="shared" si="25"/>
        <v>2.192729371032891</v>
      </c>
      <c r="T125" s="1">
        <f t="shared" si="25"/>
        <v>0.6058857472590883</v>
      </c>
      <c r="U125" s="1">
        <f t="shared" si="25"/>
        <v>3.144835545297173</v>
      </c>
      <c r="V125" s="1">
        <f t="shared" si="25"/>
        <v>2.07732256203116</v>
      </c>
      <c r="W125" s="1">
        <f t="shared" si="25"/>
        <v>1.2983266012694747</v>
      </c>
      <c r="X125" s="75">
        <f t="shared" si="25"/>
        <v>7.6168493941142525</v>
      </c>
    </row>
    <row r="126" spans="1:24" s="2" customFormat="1" ht="18.75" customHeight="1">
      <c r="A126" s="149" t="s">
        <v>85</v>
      </c>
      <c r="B126" s="30" t="s">
        <v>86</v>
      </c>
      <c r="C126" s="31">
        <v>188</v>
      </c>
      <c r="D126" s="31">
        <v>2</v>
      </c>
      <c r="E126" s="31">
        <v>7</v>
      </c>
      <c r="F126" s="31">
        <v>24</v>
      </c>
      <c r="G126" s="31">
        <v>22</v>
      </c>
      <c r="H126" s="31">
        <v>4</v>
      </c>
      <c r="I126" s="31">
        <v>16</v>
      </c>
      <c r="J126" s="31">
        <v>11</v>
      </c>
      <c r="K126" s="31">
        <v>17</v>
      </c>
      <c r="L126" s="31">
        <v>0</v>
      </c>
      <c r="M126" s="31">
        <v>40</v>
      </c>
      <c r="N126" s="31">
        <v>0</v>
      </c>
      <c r="O126" s="31">
        <v>8</v>
      </c>
      <c r="P126" s="31">
        <v>0</v>
      </c>
      <c r="Q126" s="31">
        <v>3</v>
      </c>
      <c r="R126" s="31">
        <v>2</v>
      </c>
      <c r="S126" s="31">
        <v>3</v>
      </c>
      <c r="T126" s="31">
        <v>1</v>
      </c>
      <c r="U126" s="31">
        <v>11</v>
      </c>
      <c r="V126" s="31">
        <v>1</v>
      </c>
      <c r="W126" s="31">
        <v>4</v>
      </c>
      <c r="X126" s="76">
        <v>12</v>
      </c>
    </row>
    <row r="127" spans="1:24" s="2" customFormat="1" ht="18.75" customHeight="1">
      <c r="A127" s="150"/>
      <c r="B127" s="33" t="s">
        <v>50</v>
      </c>
      <c r="C127" s="29">
        <f>C126/188*100</f>
        <v>100</v>
      </c>
      <c r="D127" s="29">
        <f aca="true" t="shared" si="26" ref="D127:X127">D126/188*100</f>
        <v>1.0638297872340425</v>
      </c>
      <c r="E127" s="29">
        <f t="shared" si="26"/>
        <v>3.723404255319149</v>
      </c>
      <c r="F127" s="29">
        <f t="shared" si="26"/>
        <v>12.76595744680851</v>
      </c>
      <c r="G127" s="29">
        <f t="shared" si="26"/>
        <v>11.702127659574469</v>
      </c>
      <c r="H127" s="29">
        <f t="shared" si="26"/>
        <v>2.127659574468085</v>
      </c>
      <c r="I127" s="29">
        <f t="shared" si="26"/>
        <v>8.51063829787234</v>
      </c>
      <c r="J127" s="29">
        <f t="shared" si="26"/>
        <v>5.851063829787234</v>
      </c>
      <c r="K127" s="29">
        <f t="shared" si="26"/>
        <v>9.042553191489363</v>
      </c>
      <c r="L127" s="29">
        <f t="shared" si="26"/>
        <v>0</v>
      </c>
      <c r="M127" s="29">
        <f t="shared" si="26"/>
        <v>21.27659574468085</v>
      </c>
      <c r="N127" s="29">
        <f t="shared" si="26"/>
        <v>0</v>
      </c>
      <c r="O127" s="29">
        <f t="shared" si="26"/>
        <v>4.25531914893617</v>
      </c>
      <c r="P127" s="29">
        <f t="shared" si="26"/>
        <v>0</v>
      </c>
      <c r="Q127" s="29">
        <f t="shared" si="26"/>
        <v>1.5957446808510638</v>
      </c>
      <c r="R127" s="29">
        <f t="shared" si="26"/>
        <v>1.0638297872340425</v>
      </c>
      <c r="S127" s="29">
        <f t="shared" si="26"/>
        <v>1.5957446808510638</v>
      </c>
      <c r="T127" s="29">
        <f t="shared" si="26"/>
        <v>0.5319148936170213</v>
      </c>
      <c r="U127" s="29">
        <f t="shared" si="26"/>
        <v>5.851063829787234</v>
      </c>
      <c r="V127" s="29">
        <f t="shared" si="26"/>
        <v>0.5319148936170213</v>
      </c>
      <c r="W127" s="29">
        <f t="shared" si="26"/>
        <v>2.127659574468085</v>
      </c>
      <c r="X127" s="72">
        <f t="shared" si="26"/>
        <v>6.382978723404255</v>
      </c>
    </row>
    <row r="128" spans="1:24" ht="18.75" customHeight="1">
      <c r="A128" s="150"/>
      <c r="B128" s="14" t="s">
        <v>87</v>
      </c>
      <c r="C128" s="16">
        <v>3349</v>
      </c>
      <c r="D128" s="16">
        <v>48</v>
      </c>
      <c r="E128" s="16">
        <v>107</v>
      </c>
      <c r="F128" s="16">
        <v>541</v>
      </c>
      <c r="G128" s="16">
        <v>318</v>
      </c>
      <c r="H128" s="16">
        <v>126</v>
      </c>
      <c r="I128" s="16">
        <v>231</v>
      </c>
      <c r="J128" s="16">
        <v>181</v>
      </c>
      <c r="K128" s="16">
        <v>289</v>
      </c>
      <c r="L128" s="16">
        <v>12</v>
      </c>
      <c r="M128" s="16">
        <v>642</v>
      </c>
      <c r="N128" s="16">
        <v>11</v>
      </c>
      <c r="O128" s="16">
        <v>116</v>
      </c>
      <c r="P128" s="16">
        <v>35</v>
      </c>
      <c r="Q128" s="16">
        <v>46</v>
      </c>
      <c r="R128" s="16">
        <v>71</v>
      </c>
      <c r="S128" s="16">
        <v>75</v>
      </c>
      <c r="T128" s="16">
        <v>15</v>
      </c>
      <c r="U128" s="16">
        <v>124</v>
      </c>
      <c r="V128" s="16">
        <v>79</v>
      </c>
      <c r="W128" s="16">
        <v>39</v>
      </c>
      <c r="X128" s="73">
        <v>243</v>
      </c>
    </row>
    <row r="129" spans="1:24" ht="18.75" customHeight="1">
      <c r="A129" s="151"/>
      <c r="B129" s="8" t="s">
        <v>50</v>
      </c>
      <c r="C129" s="1">
        <f>C128/3349*100</f>
        <v>100</v>
      </c>
      <c r="D129" s="1">
        <f aca="true" t="shared" si="27" ref="D129:X129">D128/3349*100</f>
        <v>1.433263660794267</v>
      </c>
      <c r="E129" s="1">
        <f t="shared" si="27"/>
        <v>3.19498357718722</v>
      </c>
      <c r="F129" s="1">
        <f t="shared" si="27"/>
        <v>16.154075843535384</v>
      </c>
      <c r="G129" s="1">
        <f t="shared" si="27"/>
        <v>9.495371752762019</v>
      </c>
      <c r="H129" s="1">
        <f t="shared" si="27"/>
        <v>3.7623171095849504</v>
      </c>
      <c r="I129" s="1">
        <f t="shared" si="27"/>
        <v>6.89758136757241</v>
      </c>
      <c r="J129" s="1">
        <f t="shared" si="27"/>
        <v>5.404598387578382</v>
      </c>
      <c r="K129" s="1">
        <f t="shared" si="27"/>
        <v>8.629441624365482</v>
      </c>
      <c r="L129" s="1">
        <f t="shared" si="27"/>
        <v>0.35831591519856676</v>
      </c>
      <c r="M129" s="1">
        <f t="shared" si="27"/>
        <v>19.16990146312332</v>
      </c>
      <c r="N129" s="1">
        <f t="shared" si="27"/>
        <v>0.32845625559868613</v>
      </c>
      <c r="O129" s="1">
        <f t="shared" si="27"/>
        <v>3.463720513586145</v>
      </c>
      <c r="P129" s="1">
        <f t="shared" si="27"/>
        <v>1.0450880859958196</v>
      </c>
      <c r="Q129" s="1">
        <f t="shared" si="27"/>
        <v>1.373544341594506</v>
      </c>
      <c r="R129" s="1">
        <f t="shared" si="27"/>
        <v>2.1200358315915198</v>
      </c>
      <c r="S129" s="1">
        <f t="shared" si="27"/>
        <v>2.239474469991042</v>
      </c>
      <c r="T129" s="1">
        <f t="shared" si="27"/>
        <v>0.4478948939982084</v>
      </c>
      <c r="U129" s="1">
        <f t="shared" si="27"/>
        <v>3.7025977903851897</v>
      </c>
      <c r="V129" s="1">
        <f t="shared" si="27"/>
        <v>2.3589131083905643</v>
      </c>
      <c r="W129" s="1">
        <f t="shared" si="27"/>
        <v>1.1645267243953419</v>
      </c>
      <c r="X129" s="75">
        <f t="shared" si="27"/>
        <v>7.2558972827709765</v>
      </c>
    </row>
    <row r="130" spans="1:24" ht="18.75" customHeight="1">
      <c r="A130" s="149" t="s">
        <v>104</v>
      </c>
      <c r="B130" s="30" t="s">
        <v>86</v>
      </c>
      <c r="C130" s="31">
        <v>159</v>
      </c>
      <c r="D130" s="31">
        <v>3</v>
      </c>
      <c r="E130" s="31">
        <v>2</v>
      </c>
      <c r="F130" s="31">
        <v>20</v>
      </c>
      <c r="G130" s="31">
        <v>19</v>
      </c>
      <c r="H130" s="31">
        <v>3</v>
      </c>
      <c r="I130" s="31">
        <v>14</v>
      </c>
      <c r="J130" s="31">
        <v>7</v>
      </c>
      <c r="K130" s="31">
        <v>23</v>
      </c>
      <c r="L130" s="31">
        <v>1</v>
      </c>
      <c r="M130" s="31">
        <v>29</v>
      </c>
      <c r="N130" s="31">
        <v>0</v>
      </c>
      <c r="O130" s="31">
        <v>2</v>
      </c>
      <c r="P130" s="31">
        <v>1</v>
      </c>
      <c r="Q130" s="31">
        <v>1</v>
      </c>
      <c r="R130" s="31">
        <v>4</v>
      </c>
      <c r="S130" s="31">
        <v>4</v>
      </c>
      <c r="T130" s="31">
        <v>2</v>
      </c>
      <c r="U130" s="31">
        <v>4</v>
      </c>
      <c r="V130" s="31">
        <v>1</v>
      </c>
      <c r="W130" s="31">
        <v>5</v>
      </c>
      <c r="X130" s="76">
        <v>14</v>
      </c>
    </row>
    <row r="131" spans="1:24" ht="18.75" customHeight="1">
      <c r="A131" s="150"/>
      <c r="B131" s="33" t="s">
        <v>50</v>
      </c>
      <c r="C131" s="29">
        <f>C130/159*100</f>
        <v>100</v>
      </c>
      <c r="D131" s="29">
        <f>D130/159*100</f>
        <v>1.8867924528301887</v>
      </c>
      <c r="E131" s="29">
        <f aca="true" t="shared" si="28" ref="E131:M131">E130/159*100</f>
        <v>1.257861635220126</v>
      </c>
      <c r="F131" s="29">
        <f t="shared" si="28"/>
        <v>12.578616352201259</v>
      </c>
      <c r="G131" s="29">
        <f t="shared" si="28"/>
        <v>11.949685534591195</v>
      </c>
      <c r="H131" s="29">
        <f t="shared" si="28"/>
        <v>1.8867924528301887</v>
      </c>
      <c r="I131" s="29">
        <f t="shared" si="28"/>
        <v>8.80503144654088</v>
      </c>
      <c r="J131" s="29">
        <f t="shared" si="28"/>
        <v>4.40251572327044</v>
      </c>
      <c r="K131" s="29">
        <f t="shared" si="28"/>
        <v>14.465408805031446</v>
      </c>
      <c r="L131" s="29">
        <f t="shared" si="28"/>
        <v>0.628930817610063</v>
      </c>
      <c r="M131" s="29">
        <f t="shared" si="28"/>
        <v>18.238993710691823</v>
      </c>
      <c r="N131" s="29">
        <f aca="true" t="shared" si="29" ref="N131:T131">N130/159*100</f>
        <v>0</v>
      </c>
      <c r="O131" s="29">
        <f t="shared" si="29"/>
        <v>1.257861635220126</v>
      </c>
      <c r="P131" s="29">
        <f t="shared" si="29"/>
        <v>0.628930817610063</v>
      </c>
      <c r="Q131" s="29">
        <f t="shared" si="29"/>
        <v>0.628930817610063</v>
      </c>
      <c r="R131" s="29">
        <f t="shared" si="29"/>
        <v>2.515723270440252</v>
      </c>
      <c r="S131" s="29">
        <f t="shared" si="29"/>
        <v>2.515723270440252</v>
      </c>
      <c r="T131" s="29">
        <f t="shared" si="29"/>
        <v>1.257861635220126</v>
      </c>
      <c r="U131" s="29">
        <f>U130/159*100</f>
        <v>2.515723270440252</v>
      </c>
      <c r="V131" s="29">
        <f>V130/159*100</f>
        <v>0.628930817610063</v>
      </c>
      <c r="W131" s="29">
        <f>W130/159*100</f>
        <v>3.1446540880503147</v>
      </c>
      <c r="X131" s="72">
        <f>X130/159*100</f>
        <v>8.80503144654088</v>
      </c>
    </row>
    <row r="132" spans="1:24" ht="18.75" customHeight="1">
      <c r="A132" s="150"/>
      <c r="B132" s="14" t="s">
        <v>87</v>
      </c>
      <c r="C132" s="16">
        <v>3401</v>
      </c>
      <c r="D132" s="16">
        <v>52</v>
      </c>
      <c r="E132" s="16">
        <v>111</v>
      </c>
      <c r="F132" s="16">
        <v>555</v>
      </c>
      <c r="G132" s="16">
        <v>330</v>
      </c>
      <c r="H132" s="16">
        <v>121</v>
      </c>
      <c r="I132" s="16">
        <v>259</v>
      </c>
      <c r="J132" s="16">
        <v>202</v>
      </c>
      <c r="K132" s="16">
        <v>334</v>
      </c>
      <c r="L132" s="16">
        <v>8</v>
      </c>
      <c r="M132" s="16">
        <v>604</v>
      </c>
      <c r="N132" s="16">
        <v>12</v>
      </c>
      <c r="O132" s="16">
        <v>94</v>
      </c>
      <c r="P132" s="16">
        <v>45</v>
      </c>
      <c r="Q132" s="16">
        <v>48</v>
      </c>
      <c r="R132" s="16">
        <v>76</v>
      </c>
      <c r="S132" s="16">
        <v>56</v>
      </c>
      <c r="T132" s="16">
        <v>21</v>
      </c>
      <c r="U132" s="16">
        <v>101</v>
      </c>
      <c r="V132" s="16">
        <v>69</v>
      </c>
      <c r="W132" s="16">
        <v>59</v>
      </c>
      <c r="X132" s="73">
        <v>244</v>
      </c>
    </row>
    <row r="133" spans="1:24" ht="18.75" customHeight="1">
      <c r="A133" s="151"/>
      <c r="B133" s="8" t="s">
        <v>50</v>
      </c>
      <c r="C133" s="1">
        <v>100</v>
      </c>
      <c r="D133" s="1">
        <f>D132/3401*100</f>
        <v>1.5289620699794177</v>
      </c>
      <c r="E133" s="1">
        <f aca="true" t="shared" si="30" ref="E133:T133">E132/3401*100</f>
        <v>3.2637459570714498</v>
      </c>
      <c r="F133" s="1">
        <f t="shared" si="30"/>
        <v>16.31872978535725</v>
      </c>
      <c r="G133" s="1">
        <f t="shared" si="30"/>
        <v>9.703028521023228</v>
      </c>
      <c r="H133" s="1">
        <f t="shared" si="30"/>
        <v>3.557777124375184</v>
      </c>
      <c r="I133" s="1">
        <f t="shared" si="30"/>
        <v>7.6154072331667155</v>
      </c>
      <c r="J133" s="1">
        <f t="shared" si="30"/>
        <v>5.939429579535431</v>
      </c>
      <c r="K133" s="1">
        <f t="shared" si="30"/>
        <v>9.820640987944723</v>
      </c>
      <c r="L133" s="1">
        <f t="shared" si="30"/>
        <v>0.23522493384298734</v>
      </c>
      <c r="M133" s="1">
        <f t="shared" si="30"/>
        <v>17.759482505145545</v>
      </c>
      <c r="N133" s="1">
        <f t="shared" si="30"/>
        <v>0.35283740076448106</v>
      </c>
      <c r="O133" s="1">
        <f t="shared" si="30"/>
        <v>2.763892972655101</v>
      </c>
      <c r="P133" s="1">
        <f t="shared" si="30"/>
        <v>1.323140252866804</v>
      </c>
      <c r="Q133" s="1">
        <f t="shared" si="30"/>
        <v>1.4113496030579242</v>
      </c>
      <c r="R133" s="1">
        <f t="shared" si="30"/>
        <v>2.2346368715083798</v>
      </c>
      <c r="S133" s="1">
        <f t="shared" si="30"/>
        <v>1.6465745369009115</v>
      </c>
      <c r="T133" s="1">
        <f t="shared" si="30"/>
        <v>0.6174654513378418</v>
      </c>
      <c r="U133" s="1">
        <f>U132/3401*100</f>
        <v>2.9697147897677154</v>
      </c>
      <c r="V133" s="1">
        <f>V132/3401*100</f>
        <v>2.028815054395766</v>
      </c>
      <c r="W133" s="1">
        <f>W132/3401*100</f>
        <v>1.7347838870920316</v>
      </c>
      <c r="X133" s="75">
        <f>X132/3401*100</f>
        <v>7.174360482211115</v>
      </c>
    </row>
    <row r="134" spans="1:24" ht="18.75" customHeight="1">
      <c r="A134" s="149" t="s">
        <v>106</v>
      </c>
      <c r="B134" s="30" t="s">
        <v>86</v>
      </c>
      <c r="C134" s="31">
        <v>175</v>
      </c>
      <c r="D134" s="31">
        <v>3</v>
      </c>
      <c r="E134" s="31">
        <v>4</v>
      </c>
      <c r="F134" s="31">
        <v>28</v>
      </c>
      <c r="G134" s="31">
        <v>16</v>
      </c>
      <c r="H134" s="31">
        <v>4</v>
      </c>
      <c r="I134" s="31">
        <v>14</v>
      </c>
      <c r="J134" s="31">
        <v>9</v>
      </c>
      <c r="K134" s="31">
        <v>24</v>
      </c>
      <c r="L134" s="31">
        <v>0</v>
      </c>
      <c r="M134" s="31">
        <v>25</v>
      </c>
      <c r="N134" s="31">
        <v>0</v>
      </c>
      <c r="O134" s="31">
        <v>5</v>
      </c>
      <c r="P134" s="31">
        <v>0</v>
      </c>
      <c r="Q134" s="31">
        <v>3</v>
      </c>
      <c r="R134" s="31">
        <v>3</v>
      </c>
      <c r="S134" s="31">
        <v>2</v>
      </c>
      <c r="T134" s="31">
        <v>6</v>
      </c>
      <c r="U134" s="31">
        <v>7</v>
      </c>
      <c r="V134" s="31">
        <v>4</v>
      </c>
      <c r="W134" s="31">
        <v>4</v>
      </c>
      <c r="X134" s="76">
        <v>14</v>
      </c>
    </row>
    <row r="135" spans="1:24" ht="18.75" customHeight="1">
      <c r="A135" s="150"/>
      <c r="B135" s="33" t="s">
        <v>50</v>
      </c>
      <c r="C135" s="29">
        <v>100</v>
      </c>
      <c r="D135" s="29">
        <v>1.7142857142857144</v>
      </c>
      <c r="E135" s="29">
        <v>2.2857142857142856</v>
      </c>
      <c r="F135" s="29">
        <v>16</v>
      </c>
      <c r="G135" s="29">
        <v>9.142857142857142</v>
      </c>
      <c r="H135" s="29">
        <v>2.2857142857142856</v>
      </c>
      <c r="I135" s="29">
        <v>8</v>
      </c>
      <c r="J135" s="29">
        <v>5.142857142857142</v>
      </c>
      <c r="K135" s="29">
        <v>13.714285714285715</v>
      </c>
      <c r="L135" s="29">
        <v>0</v>
      </c>
      <c r="M135" s="29">
        <v>14.285714285714285</v>
      </c>
      <c r="N135" s="29">
        <v>0</v>
      </c>
      <c r="O135" s="29">
        <v>2.857142857142857</v>
      </c>
      <c r="P135" s="29">
        <v>0</v>
      </c>
      <c r="Q135" s="29">
        <v>1.7142857142857144</v>
      </c>
      <c r="R135" s="29">
        <v>1.7142857142857144</v>
      </c>
      <c r="S135" s="29">
        <v>1.1428571428571428</v>
      </c>
      <c r="T135" s="29">
        <v>3.428571428571429</v>
      </c>
      <c r="U135" s="29">
        <v>4</v>
      </c>
      <c r="V135" s="29">
        <v>2.2857142857142856</v>
      </c>
      <c r="W135" s="29">
        <v>2.2857142857142856</v>
      </c>
      <c r="X135" s="72">
        <v>8</v>
      </c>
    </row>
    <row r="136" spans="1:24" ht="18.75" customHeight="1">
      <c r="A136" s="150"/>
      <c r="B136" s="14" t="s">
        <v>87</v>
      </c>
      <c r="C136" s="16">
        <v>3408</v>
      </c>
      <c r="D136" s="16">
        <v>61</v>
      </c>
      <c r="E136" s="16">
        <v>100</v>
      </c>
      <c r="F136" s="16">
        <v>544</v>
      </c>
      <c r="G136" s="16">
        <v>303</v>
      </c>
      <c r="H136" s="16">
        <v>133</v>
      </c>
      <c r="I136" s="16">
        <v>257</v>
      </c>
      <c r="J136" s="16">
        <v>184</v>
      </c>
      <c r="K136" s="16">
        <v>337</v>
      </c>
      <c r="L136" s="16">
        <v>8</v>
      </c>
      <c r="M136" s="16">
        <v>611</v>
      </c>
      <c r="N136" s="16">
        <v>6</v>
      </c>
      <c r="O136" s="16">
        <v>137</v>
      </c>
      <c r="P136" s="16">
        <v>40</v>
      </c>
      <c r="Q136" s="16">
        <v>44</v>
      </c>
      <c r="R136" s="16">
        <v>76</v>
      </c>
      <c r="S136" s="16">
        <v>67</v>
      </c>
      <c r="T136" s="16">
        <v>28</v>
      </c>
      <c r="U136" s="16">
        <v>107</v>
      </c>
      <c r="V136" s="16">
        <v>67</v>
      </c>
      <c r="W136" s="16">
        <v>44</v>
      </c>
      <c r="X136" s="73">
        <v>254</v>
      </c>
    </row>
    <row r="137" spans="1:24" ht="18.75" customHeight="1">
      <c r="A137" s="151"/>
      <c r="B137" s="8" t="s">
        <v>50</v>
      </c>
      <c r="C137" s="1">
        <v>100</v>
      </c>
      <c r="D137" s="1">
        <v>1.7899061032863852</v>
      </c>
      <c r="E137" s="1">
        <v>2.9342723004694835</v>
      </c>
      <c r="F137" s="1">
        <v>15.96244131455399</v>
      </c>
      <c r="G137" s="1">
        <v>8.890845070422536</v>
      </c>
      <c r="H137" s="1">
        <v>3.9025821596244135</v>
      </c>
      <c r="I137" s="1">
        <v>7.541079812206573</v>
      </c>
      <c r="J137" s="1">
        <v>5.39906103286385</v>
      </c>
      <c r="K137" s="1">
        <v>9.88849765258216</v>
      </c>
      <c r="L137" s="1">
        <v>0.2347417840375587</v>
      </c>
      <c r="M137" s="1">
        <v>17.928403755868544</v>
      </c>
      <c r="N137" s="1">
        <v>0.17605633802816903</v>
      </c>
      <c r="O137" s="1">
        <v>4.019953051643192</v>
      </c>
      <c r="P137" s="1">
        <v>1.1737089201877933</v>
      </c>
      <c r="Q137" s="1">
        <v>1.2910798122065728</v>
      </c>
      <c r="R137" s="1">
        <v>2.2300469483568075</v>
      </c>
      <c r="S137" s="1">
        <v>1.965962441314554</v>
      </c>
      <c r="T137" s="1">
        <v>0.8215962441314555</v>
      </c>
      <c r="U137" s="1">
        <v>3.1396713615023475</v>
      </c>
      <c r="V137" s="1">
        <v>1.965962441314554</v>
      </c>
      <c r="W137" s="1">
        <v>1.2910798122065728</v>
      </c>
      <c r="X137" s="75">
        <v>7.453051643192488</v>
      </c>
    </row>
    <row r="138" spans="1:24" ht="18.75" customHeight="1">
      <c r="A138" s="149" t="s">
        <v>120</v>
      </c>
      <c r="B138" s="30" t="s">
        <v>86</v>
      </c>
      <c r="C138" s="107">
        <v>196</v>
      </c>
      <c r="D138" s="31">
        <v>1</v>
      </c>
      <c r="E138" s="31">
        <v>1</v>
      </c>
      <c r="F138" s="31">
        <v>40</v>
      </c>
      <c r="G138" s="31">
        <v>10</v>
      </c>
      <c r="H138" s="31">
        <v>5</v>
      </c>
      <c r="I138" s="31">
        <v>22</v>
      </c>
      <c r="J138" s="31">
        <v>14</v>
      </c>
      <c r="K138" s="31">
        <v>19</v>
      </c>
      <c r="L138" s="31">
        <v>0</v>
      </c>
      <c r="M138" s="31">
        <v>38</v>
      </c>
      <c r="N138" s="31">
        <v>1</v>
      </c>
      <c r="O138" s="31">
        <v>4</v>
      </c>
      <c r="P138" s="31">
        <v>4</v>
      </c>
      <c r="Q138" s="31">
        <v>2</v>
      </c>
      <c r="R138" s="31">
        <v>5</v>
      </c>
      <c r="S138" s="31">
        <v>6</v>
      </c>
      <c r="T138" s="31">
        <v>2</v>
      </c>
      <c r="U138" s="31">
        <v>3</v>
      </c>
      <c r="V138" s="31">
        <v>5</v>
      </c>
      <c r="W138" s="31">
        <v>3</v>
      </c>
      <c r="X138" s="76">
        <v>11</v>
      </c>
    </row>
    <row r="139" spans="1:24" ht="18.75" customHeight="1">
      <c r="A139" s="150"/>
      <c r="B139" s="33" t="s">
        <v>50</v>
      </c>
      <c r="C139" s="108">
        <v>100</v>
      </c>
      <c r="D139" s="28">
        <f>D138/196*100</f>
        <v>0.5102040816326531</v>
      </c>
      <c r="E139" s="28">
        <f aca="true" t="shared" si="31" ref="E139:X139">E138/196*100</f>
        <v>0.5102040816326531</v>
      </c>
      <c r="F139" s="28">
        <f t="shared" si="31"/>
        <v>20.408163265306122</v>
      </c>
      <c r="G139" s="28">
        <f t="shared" si="31"/>
        <v>5.1020408163265305</v>
      </c>
      <c r="H139" s="28">
        <f t="shared" si="31"/>
        <v>2.5510204081632653</v>
      </c>
      <c r="I139" s="28">
        <f t="shared" si="31"/>
        <v>11.224489795918368</v>
      </c>
      <c r="J139" s="28">
        <f t="shared" si="31"/>
        <v>7.142857142857142</v>
      </c>
      <c r="K139" s="28">
        <f t="shared" si="31"/>
        <v>9.693877551020408</v>
      </c>
      <c r="L139" s="28">
        <f t="shared" si="31"/>
        <v>0</v>
      </c>
      <c r="M139" s="28">
        <v>19.5</v>
      </c>
      <c r="N139" s="28">
        <f t="shared" si="31"/>
        <v>0.5102040816326531</v>
      </c>
      <c r="O139" s="28">
        <f t="shared" si="31"/>
        <v>2.0408163265306123</v>
      </c>
      <c r="P139" s="28">
        <f t="shared" si="31"/>
        <v>2.0408163265306123</v>
      </c>
      <c r="Q139" s="28">
        <f t="shared" si="31"/>
        <v>1.0204081632653061</v>
      </c>
      <c r="R139" s="28">
        <f t="shared" si="31"/>
        <v>2.5510204081632653</v>
      </c>
      <c r="S139" s="28">
        <f t="shared" si="31"/>
        <v>3.061224489795918</v>
      </c>
      <c r="T139" s="28">
        <f t="shared" si="31"/>
        <v>1.0204081632653061</v>
      </c>
      <c r="U139" s="28">
        <f t="shared" si="31"/>
        <v>1.530612244897959</v>
      </c>
      <c r="V139" s="28">
        <f t="shared" si="31"/>
        <v>2.5510204081632653</v>
      </c>
      <c r="W139" s="28">
        <f t="shared" si="31"/>
        <v>1.530612244897959</v>
      </c>
      <c r="X139" s="99">
        <f t="shared" si="31"/>
        <v>5.612244897959184</v>
      </c>
    </row>
    <row r="140" spans="1:24" ht="18.75" customHeight="1">
      <c r="A140" s="150"/>
      <c r="B140" s="14" t="s">
        <v>87</v>
      </c>
      <c r="C140" s="109">
        <v>3493</v>
      </c>
      <c r="D140" s="16">
        <v>60</v>
      </c>
      <c r="E140" s="16">
        <v>106</v>
      </c>
      <c r="F140" s="16">
        <v>568</v>
      </c>
      <c r="G140" s="16">
        <v>339</v>
      </c>
      <c r="H140" s="16">
        <v>139</v>
      </c>
      <c r="I140" s="16">
        <v>266</v>
      </c>
      <c r="J140" s="16">
        <v>187</v>
      </c>
      <c r="K140" s="16">
        <v>319</v>
      </c>
      <c r="L140" s="16">
        <v>8</v>
      </c>
      <c r="M140" s="16">
        <v>636</v>
      </c>
      <c r="N140" s="16">
        <v>12</v>
      </c>
      <c r="O140" s="16">
        <v>96</v>
      </c>
      <c r="P140" s="16">
        <v>53</v>
      </c>
      <c r="Q140" s="16">
        <v>42</v>
      </c>
      <c r="R140" s="16">
        <v>86</v>
      </c>
      <c r="S140" s="16">
        <v>60</v>
      </c>
      <c r="T140" s="16">
        <v>31</v>
      </c>
      <c r="U140" s="16">
        <v>117</v>
      </c>
      <c r="V140" s="16">
        <v>78</v>
      </c>
      <c r="W140" s="16">
        <v>37</v>
      </c>
      <c r="X140" s="73">
        <v>253</v>
      </c>
    </row>
    <row r="141" spans="1:24" ht="18.75" customHeight="1">
      <c r="A141" s="150"/>
      <c r="B141" s="110" t="s">
        <v>50</v>
      </c>
      <c r="C141" s="29">
        <v>100</v>
      </c>
      <c r="D141" s="47">
        <f>D140/3493*100</f>
        <v>1.7177211565989121</v>
      </c>
      <c r="E141" s="47">
        <f aca="true" t="shared" si="32" ref="E141:X141">E140/3493*100</f>
        <v>3.0346407099914114</v>
      </c>
      <c r="F141" s="47">
        <v>16.4</v>
      </c>
      <c r="G141" s="47">
        <f t="shared" si="32"/>
        <v>9.705124534783852</v>
      </c>
      <c r="H141" s="47">
        <v>4.1</v>
      </c>
      <c r="I141" s="47">
        <f t="shared" si="32"/>
        <v>7.615230460921844</v>
      </c>
      <c r="J141" s="47">
        <f t="shared" si="32"/>
        <v>5.353564271399943</v>
      </c>
      <c r="K141" s="47">
        <f t="shared" si="32"/>
        <v>9.132550815917549</v>
      </c>
      <c r="L141" s="47">
        <f t="shared" si="32"/>
        <v>0.22902948754652158</v>
      </c>
      <c r="M141" s="47">
        <f t="shared" si="32"/>
        <v>18.20784425994847</v>
      </c>
      <c r="N141" s="47">
        <f t="shared" si="32"/>
        <v>0.34354423131978246</v>
      </c>
      <c r="O141" s="47">
        <f t="shared" si="32"/>
        <v>2.7483538505582596</v>
      </c>
      <c r="P141" s="47">
        <f t="shared" si="32"/>
        <v>1.5173203549957057</v>
      </c>
      <c r="Q141" s="47">
        <f t="shared" si="32"/>
        <v>1.2024048096192386</v>
      </c>
      <c r="R141" s="47">
        <f t="shared" si="32"/>
        <v>2.4620669911251074</v>
      </c>
      <c r="S141" s="47">
        <f t="shared" si="32"/>
        <v>1.7177211565989121</v>
      </c>
      <c r="T141" s="47">
        <f t="shared" si="32"/>
        <v>0.8874892642427712</v>
      </c>
      <c r="U141" s="47">
        <f t="shared" si="32"/>
        <v>3.349556255367878</v>
      </c>
      <c r="V141" s="47">
        <f t="shared" si="32"/>
        <v>2.2330375035785854</v>
      </c>
      <c r="W141" s="47">
        <f t="shared" si="32"/>
        <v>1.0592613799026624</v>
      </c>
      <c r="X141" s="74">
        <f t="shared" si="32"/>
        <v>7.243057543658746</v>
      </c>
    </row>
    <row r="142" spans="1:24" ht="18.75" customHeight="1">
      <c r="A142" s="149" t="s">
        <v>127</v>
      </c>
      <c r="B142" s="24" t="s">
        <v>86</v>
      </c>
      <c r="C142" s="107">
        <v>184</v>
      </c>
      <c r="D142" s="26">
        <v>3</v>
      </c>
      <c r="E142" s="26">
        <v>6</v>
      </c>
      <c r="F142" s="26">
        <v>28</v>
      </c>
      <c r="G142" s="26">
        <v>17</v>
      </c>
      <c r="H142" s="26">
        <v>3</v>
      </c>
      <c r="I142" s="26">
        <v>17</v>
      </c>
      <c r="J142" s="26">
        <v>13</v>
      </c>
      <c r="K142" s="26">
        <v>16</v>
      </c>
      <c r="L142" s="26">
        <v>2</v>
      </c>
      <c r="M142" s="26">
        <v>29</v>
      </c>
      <c r="N142" s="26">
        <v>1</v>
      </c>
      <c r="O142" s="26">
        <v>3</v>
      </c>
      <c r="P142" s="26">
        <v>2</v>
      </c>
      <c r="Q142" s="26">
        <v>2</v>
      </c>
      <c r="R142" s="26">
        <v>5</v>
      </c>
      <c r="S142" s="26">
        <v>5</v>
      </c>
      <c r="T142" s="26">
        <v>0</v>
      </c>
      <c r="U142" s="26">
        <v>5</v>
      </c>
      <c r="V142" s="26">
        <v>6</v>
      </c>
      <c r="W142" s="26">
        <v>5</v>
      </c>
      <c r="X142" s="71">
        <v>16</v>
      </c>
    </row>
    <row r="143" spans="1:24" ht="18.75" customHeight="1">
      <c r="A143" s="150"/>
      <c r="B143" s="33" t="s">
        <v>50</v>
      </c>
      <c r="C143" s="108">
        <v>100</v>
      </c>
      <c r="D143" s="28">
        <f>D142/184*100</f>
        <v>1.6304347826086956</v>
      </c>
      <c r="E143" s="28">
        <f>E142/184*100</f>
        <v>3.260869565217391</v>
      </c>
      <c r="F143" s="28">
        <f aca="true" t="shared" si="33" ref="F143:X143">F142/184*100</f>
        <v>15.217391304347828</v>
      </c>
      <c r="G143" s="28">
        <f t="shared" si="33"/>
        <v>9.239130434782608</v>
      </c>
      <c r="H143" s="28">
        <f t="shared" si="33"/>
        <v>1.6304347826086956</v>
      </c>
      <c r="I143" s="28">
        <f t="shared" si="33"/>
        <v>9.239130434782608</v>
      </c>
      <c r="J143" s="28">
        <f t="shared" si="33"/>
        <v>7.065217391304348</v>
      </c>
      <c r="K143" s="28">
        <f t="shared" si="33"/>
        <v>8.695652173913043</v>
      </c>
      <c r="L143" s="28">
        <f t="shared" si="33"/>
        <v>1.0869565217391304</v>
      </c>
      <c r="M143" s="28">
        <f t="shared" si="33"/>
        <v>15.760869565217392</v>
      </c>
      <c r="N143" s="28">
        <f t="shared" si="33"/>
        <v>0.5434782608695652</v>
      </c>
      <c r="O143" s="28">
        <f t="shared" si="33"/>
        <v>1.6304347826086956</v>
      </c>
      <c r="P143" s="28">
        <f t="shared" si="33"/>
        <v>1.0869565217391304</v>
      </c>
      <c r="Q143" s="28">
        <f t="shared" si="33"/>
        <v>1.0869565217391304</v>
      </c>
      <c r="R143" s="28">
        <f t="shared" si="33"/>
        <v>2.717391304347826</v>
      </c>
      <c r="S143" s="28">
        <f t="shared" si="33"/>
        <v>2.717391304347826</v>
      </c>
      <c r="T143" s="28">
        <f t="shared" si="33"/>
        <v>0</v>
      </c>
      <c r="U143" s="28">
        <f t="shared" si="33"/>
        <v>2.717391304347826</v>
      </c>
      <c r="V143" s="28">
        <f t="shared" si="33"/>
        <v>3.260869565217391</v>
      </c>
      <c r="W143" s="28">
        <f t="shared" si="33"/>
        <v>2.717391304347826</v>
      </c>
      <c r="X143" s="72">
        <f t="shared" si="33"/>
        <v>8.695652173913043</v>
      </c>
    </row>
    <row r="144" spans="1:24" ht="18.75" customHeight="1">
      <c r="A144" s="150"/>
      <c r="B144" s="14" t="s">
        <v>87</v>
      </c>
      <c r="C144" s="109">
        <v>3517</v>
      </c>
      <c r="D144" s="16">
        <v>60</v>
      </c>
      <c r="E144" s="16">
        <v>97</v>
      </c>
      <c r="F144" s="16">
        <v>555</v>
      </c>
      <c r="G144" s="16">
        <v>323</v>
      </c>
      <c r="H144" s="16">
        <v>128</v>
      </c>
      <c r="I144" s="16">
        <v>275</v>
      </c>
      <c r="J144" s="16">
        <v>201</v>
      </c>
      <c r="K144" s="16">
        <v>340</v>
      </c>
      <c r="L144" s="16">
        <v>11</v>
      </c>
      <c r="M144" s="16">
        <v>644</v>
      </c>
      <c r="N144" s="16">
        <v>12</v>
      </c>
      <c r="O144" s="16">
        <v>93</v>
      </c>
      <c r="P144" s="16">
        <v>45</v>
      </c>
      <c r="Q144" s="16">
        <v>42</v>
      </c>
      <c r="R144" s="16">
        <v>94</v>
      </c>
      <c r="S144" s="16">
        <v>82</v>
      </c>
      <c r="T144" s="16">
        <v>20</v>
      </c>
      <c r="U144" s="16">
        <v>117</v>
      </c>
      <c r="V144" s="16">
        <v>72</v>
      </c>
      <c r="W144" s="16">
        <v>35</v>
      </c>
      <c r="X144" s="73">
        <v>271</v>
      </c>
    </row>
    <row r="145" spans="1:24" ht="18.75" customHeight="1">
      <c r="A145" s="151"/>
      <c r="B145" s="8" t="s">
        <v>50</v>
      </c>
      <c r="C145" s="64">
        <v>100</v>
      </c>
      <c r="D145" s="1">
        <f>D144/3517*100</f>
        <v>1.7059994313335227</v>
      </c>
      <c r="E145" s="1">
        <f aca="true" t="shared" si="34" ref="E145:X145">E144/3517*100</f>
        <v>2.7580324139891954</v>
      </c>
      <c r="F145" s="1">
        <f t="shared" si="34"/>
        <v>15.780494739835088</v>
      </c>
      <c r="G145" s="1">
        <f t="shared" si="34"/>
        <v>9.183963605345465</v>
      </c>
      <c r="H145" s="1">
        <f t="shared" si="34"/>
        <v>3.6394654535115154</v>
      </c>
      <c r="I145" s="1">
        <f t="shared" si="34"/>
        <v>7.819164060278647</v>
      </c>
      <c r="J145" s="1">
        <f t="shared" si="34"/>
        <v>5.715098094967302</v>
      </c>
      <c r="K145" s="1">
        <f t="shared" si="34"/>
        <v>9.667330110889964</v>
      </c>
      <c r="L145" s="1">
        <f t="shared" si="34"/>
        <v>0.31276656241114587</v>
      </c>
      <c r="M145" s="1">
        <f t="shared" si="34"/>
        <v>18.31106056297981</v>
      </c>
      <c r="N145" s="1">
        <f t="shared" si="34"/>
        <v>0.34119988626670456</v>
      </c>
      <c r="O145" s="1">
        <f t="shared" si="34"/>
        <v>2.6442991185669604</v>
      </c>
      <c r="P145" s="1">
        <f t="shared" si="34"/>
        <v>1.279499573500142</v>
      </c>
      <c r="Q145" s="1">
        <f t="shared" si="34"/>
        <v>1.194199601933466</v>
      </c>
      <c r="R145" s="1">
        <f t="shared" si="34"/>
        <v>2.6727324424225194</v>
      </c>
      <c r="S145" s="1">
        <f t="shared" si="34"/>
        <v>2.3315325561558145</v>
      </c>
      <c r="T145" s="1">
        <f t="shared" si="34"/>
        <v>0.5686664771111744</v>
      </c>
      <c r="U145" s="1">
        <f t="shared" si="34"/>
        <v>3.3266988911003694</v>
      </c>
      <c r="V145" s="1">
        <f t="shared" si="34"/>
        <v>2.0471993176002274</v>
      </c>
      <c r="W145" s="1">
        <f t="shared" si="34"/>
        <v>0.995166334944555</v>
      </c>
      <c r="X145" s="75">
        <f t="shared" si="34"/>
        <v>7.705430764856412</v>
      </c>
    </row>
    <row r="146" spans="1:24" ht="18.75" customHeight="1">
      <c r="A146" s="150" t="s">
        <v>128</v>
      </c>
      <c r="B146" s="30" t="s">
        <v>86</v>
      </c>
      <c r="C146" s="116">
        <v>179</v>
      </c>
      <c r="D146" s="31">
        <v>1</v>
      </c>
      <c r="E146" s="31">
        <v>7</v>
      </c>
      <c r="F146" s="31">
        <v>28</v>
      </c>
      <c r="G146" s="31">
        <v>9</v>
      </c>
      <c r="H146" s="31">
        <v>7</v>
      </c>
      <c r="I146" s="31">
        <v>12</v>
      </c>
      <c r="J146" s="31">
        <v>17</v>
      </c>
      <c r="K146" s="31">
        <v>17</v>
      </c>
      <c r="L146" s="31">
        <v>1</v>
      </c>
      <c r="M146" s="31">
        <v>21</v>
      </c>
      <c r="N146" s="31">
        <v>0</v>
      </c>
      <c r="O146" s="31">
        <v>5</v>
      </c>
      <c r="P146" s="31">
        <v>4</v>
      </c>
      <c r="Q146" s="31">
        <v>2</v>
      </c>
      <c r="R146" s="31">
        <v>3</v>
      </c>
      <c r="S146" s="31">
        <v>4</v>
      </c>
      <c r="T146" s="31">
        <v>1</v>
      </c>
      <c r="U146" s="31">
        <v>12</v>
      </c>
      <c r="V146" s="31">
        <v>6</v>
      </c>
      <c r="W146" s="31">
        <v>1</v>
      </c>
      <c r="X146" s="76">
        <v>21</v>
      </c>
    </row>
    <row r="147" spans="1:24" ht="18.75" customHeight="1">
      <c r="A147" s="150"/>
      <c r="B147" s="33" t="s">
        <v>50</v>
      </c>
      <c r="C147" s="108">
        <v>100</v>
      </c>
      <c r="D147" s="28">
        <f>D146/179*100</f>
        <v>0.5586592178770949</v>
      </c>
      <c r="E147" s="28">
        <f aca="true" t="shared" si="35" ref="E147:X147">E146/179*100</f>
        <v>3.910614525139665</v>
      </c>
      <c r="F147" s="28">
        <f t="shared" si="35"/>
        <v>15.64245810055866</v>
      </c>
      <c r="G147" s="28">
        <f t="shared" si="35"/>
        <v>5.027932960893855</v>
      </c>
      <c r="H147" s="28">
        <f t="shared" si="35"/>
        <v>3.910614525139665</v>
      </c>
      <c r="I147" s="28">
        <f t="shared" si="35"/>
        <v>6.70391061452514</v>
      </c>
      <c r="J147" s="28">
        <f t="shared" si="35"/>
        <v>9.497206703910614</v>
      </c>
      <c r="K147" s="28">
        <f t="shared" si="35"/>
        <v>9.497206703910614</v>
      </c>
      <c r="L147" s="28">
        <f t="shared" si="35"/>
        <v>0.5586592178770949</v>
      </c>
      <c r="M147" s="28">
        <f t="shared" si="35"/>
        <v>11.731843575418994</v>
      </c>
      <c r="N147" s="28">
        <f t="shared" si="35"/>
        <v>0</v>
      </c>
      <c r="O147" s="28">
        <f t="shared" si="35"/>
        <v>2.793296089385475</v>
      </c>
      <c r="P147" s="28">
        <f t="shared" si="35"/>
        <v>2.2346368715083798</v>
      </c>
      <c r="Q147" s="28">
        <f t="shared" si="35"/>
        <v>1.1173184357541899</v>
      </c>
      <c r="R147" s="28">
        <f t="shared" si="35"/>
        <v>1.675977653631285</v>
      </c>
      <c r="S147" s="28">
        <f t="shared" si="35"/>
        <v>2.2346368715083798</v>
      </c>
      <c r="T147" s="28">
        <f t="shared" si="35"/>
        <v>0.5586592178770949</v>
      </c>
      <c r="U147" s="28">
        <f t="shared" si="35"/>
        <v>6.70391061452514</v>
      </c>
      <c r="V147" s="28">
        <f t="shared" si="35"/>
        <v>3.35195530726257</v>
      </c>
      <c r="W147" s="28">
        <f t="shared" si="35"/>
        <v>0.5586592178770949</v>
      </c>
      <c r="X147" s="72">
        <f t="shared" si="35"/>
        <v>11.731843575418994</v>
      </c>
    </row>
    <row r="148" spans="1:24" ht="18.75" customHeight="1">
      <c r="A148" s="150"/>
      <c r="B148" s="14" t="s">
        <v>87</v>
      </c>
      <c r="C148" s="109">
        <v>3559</v>
      </c>
      <c r="D148" s="16">
        <v>66</v>
      </c>
      <c r="E148" s="16">
        <v>117</v>
      </c>
      <c r="F148" s="16">
        <v>496</v>
      </c>
      <c r="G148" s="16">
        <v>342</v>
      </c>
      <c r="H148" s="16">
        <v>136</v>
      </c>
      <c r="I148" s="16">
        <v>226</v>
      </c>
      <c r="J148" s="16">
        <v>203</v>
      </c>
      <c r="K148" s="16">
        <v>318</v>
      </c>
      <c r="L148" s="16">
        <v>15</v>
      </c>
      <c r="M148" s="16">
        <v>676</v>
      </c>
      <c r="N148" s="16">
        <v>16</v>
      </c>
      <c r="O148" s="16">
        <v>119</v>
      </c>
      <c r="P148" s="16">
        <v>66</v>
      </c>
      <c r="Q148" s="16">
        <v>45</v>
      </c>
      <c r="R148" s="16">
        <v>102</v>
      </c>
      <c r="S148" s="16">
        <v>60</v>
      </c>
      <c r="T148" s="16">
        <v>19</v>
      </c>
      <c r="U148" s="16">
        <v>134</v>
      </c>
      <c r="V148" s="16">
        <v>68</v>
      </c>
      <c r="W148" s="16">
        <v>38</v>
      </c>
      <c r="X148" s="73">
        <v>297</v>
      </c>
    </row>
    <row r="149" spans="1:24" ht="18.75" customHeight="1">
      <c r="A149" s="150"/>
      <c r="B149" s="110" t="s">
        <v>50</v>
      </c>
      <c r="C149" s="29">
        <v>100</v>
      </c>
      <c r="D149" s="47">
        <f>D148/3559*100</f>
        <v>1.8544534981736445</v>
      </c>
      <c r="E149" s="47">
        <f aca="true" t="shared" si="36" ref="E149:X149">E148/3559*100</f>
        <v>3.2874402922169152</v>
      </c>
      <c r="F149" s="47">
        <f t="shared" si="36"/>
        <v>13.936499016577692</v>
      </c>
      <c r="G149" s="47">
        <f t="shared" si="36"/>
        <v>9.60944085417252</v>
      </c>
      <c r="H149" s="47">
        <f t="shared" si="36"/>
        <v>3.8212981174487215</v>
      </c>
      <c r="I149" s="47">
        <f t="shared" si="36"/>
        <v>6.3500983422309645</v>
      </c>
      <c r="J149" s="47">
        <f t="shared" si="36"/>
        <v>5.703849395897724</v>
      </c>
      <c r="K149" s="47">
        <f t="shared" si="36"/>
        <v>8.935094127563922</v>
      </c>
      <c r="L149" s="47">
        <f t="shared" si="36"/>
        <v>0.42146670413037374</v>
      </c>
      <c r="M149" s="47">
        <f t="shared" si="36"/>
        <v>18.994099466142174</v>
      </c>
      <c r="N149" s="47">
        <f t="shared" si="36"/>
        <v>0.449564484405732</v>
      </c>
      <c r="O149" s="47">
        <f t="shared" si="36"/>
        <v>3.343635852767631</v>
      </c>
      <c r="P149" s="47">
        <f t="shared" si="36"/>
        <v>1.8544534981736445</v>
      </c>
      <c r="Q149" s="47">
        <f t="shared" si="36"/>
        <v>1.264400112391121</v>
      </c>
      <c r="R149" s="47">
        <f t="shared" si="36"/>
        <v>2.865973588086541</v>
      </c>
      <c r="S149" s="47">
        <f t="shared" si="36"/>
        <v>1.685866816521495</v>
      </c>
      <c r="T149" s="47">
        <f t="shared" si="36"/>
        <v>0.5338578252318067</v>
      </c>
      <c r="U149" s="47">
        <f t="shared" si="36"/>
        <v>3.7651025568980048</v>
      </c>
      <c r="V149" s="47">
        <f t="shared" si="36"/>
        <v>1.9106490587243607</v>
      </c>
      <c r="W149" s="47">
        <f t="shared" si="36"/>
        <v>1.0677156504636134</v>
      </c>
      <c r="X149" s="74">
        <f t="shared" si="36"/>
        <v>8.3450407417814</v>
      </c>
    </row>
    <row r="150" spans="1:24" ht="18.75" customHeight="1">
      <c r="A150" s="149" t="s">
        <v>130</v>
      </c>
      <c r="B150" s="24" t="s">
        <v>86</v>
      </c>
      <c r="C150" s="107">
        <v>177</v>
      </c>
      <c r="D150" s="26">
        <v>1</v>
      </c>
      <c r="E150" s="26">
        <v>3</v>
      </c>
      <c r="F150" s="26">
        <v>27</v>
      </c>
      <c r="G150" s="26">
        <v>13</v>
      </c>
      <c r="H150" s="26">
        <v>5</v>
      </c>
      <c r="I150" s="26">
        <v>8</v>
      </c>
      <c r="J150" s="26">
        <v>13</v>
      </c>
      <c r="K150" s="26">
        <v>19</v>
      </c>
      <c r="L150" s="26">
        <v>0</v>
      </c>
      <c r="M150" s="26">
        <v>36</v>
      </c>
      <c r="N150" s="26">
        <v>2</v>
      </c>
      <c r="O150" s="26">
        <v>9</v>
      </c>
      <c r="P150" s="26">
        <v>4</v>
      </c>
      <c r="Q150" s="26">
        <v>0</v>
      </c>
      <c r="R150" s="26">
        <v>3</v>
      </c>
      <c r="S150" s="26">
        <v>7</v>
      </c>
      <c r="T150" s="26">
        <v>1</v>
      </c>
      <c r="U150" s="26">
        <v>9</v>
      </c>
      <c r="V150" s="26">
        <v>3</v>
      </c>
      <c r="W150" s="26">
        <v>3</v>
      </c>
      <c r="X150" s="71">
        <v>11</v>
      </c>
    </row>
    <row r="151" spans="1:24" ht="18.75" customHeight="1">
      <c r="A151" s="150"/>
      <c r="B151" s="33" t="s">
        <v>50</v>
      </c>
      <c r="C151" s="108">
        <v>100</v>
      </c>
      <c r="D151" s="28">
        <f aca="true" t="shared" si="37" ref="D151:X151">D150/177*100</f>
        <v>0.5649717514124294</v>
      </c>
      <c r="E151" s="28">
        <f t="shared" si="37"/>
        <v>1.694915254237288</v>
      </c>
      <c r="F151" s="28">
        <f t="shared" si="37"/>
        <v>15.254237288135593</v>
      </c>
      <c r="G151" s="28">
        <f t="shared" si="37"/>
        <v>7.344632768361582</v>
      </c>
      <c r="H151" s="28">
        <f t="shared" si="37"/>
        <v>2.824858757062147</v>
      </c>
      <c r="I151" s="28">
        <f t="shared" si="37"/>
        <v>4.519774011299435</v>
      </c>
      <c r="J151" s="28">
        <f t="shared" si="37"/>
        <v>7.344632768361582</v>
      </c>
      <c r="K151" s="28">
        <f t="shared" si="37"/>
        <v>10.734463276836157</v>
      </c>
      <c r="L151" s="28">
        <f t="shared" si="37"/>
        <v>0</v>
      </c>
      <c r="M151" s="28">
        <f t="shared" si="37"/>
        <v>20.33898305084746</v>
      </c>
      <c r="N151" s="28">
        <f t="shared" si="37"/>
        <v>1.1299435028248588</v>
      </c>
      <c r="O151" s="28">
        <f t="shared" si="37"/>
        <v>5.084745762711865</v>
      </c>
      <c r="P151" s="28">
        <f t="shared" si="37"/>
        <v>2.2598870056497176</v>
      </c>
      <c r="Q151" s="28">
        <f t="shared" si="37"/>
        <v>0</v>
      </c>
      <c r="R151" s="28">
        <f t="shared" si="37"/>
        <v>1.694915254237288</v>
      </c>
      <c r="S151" s="28">
        <f t="shared" si="37"/>
        <v>3.954802259887006</v>
      </c>
      <c r="T151" s="28">
        <f t="shared" si="37"/>
        <v>0.5649717514124294</v>
      </c>
      <c r="U151" s="28">
        <f t="shared" si="37"/>
        <v>5.084745762711865</v>
      </c>
      <c r="V151" s="28">
        <f t="shared" si="37"/>
        <v>1.694915254237288</v>
      </c>
      <c r="W151" s="28">
        <f t="shared" si="37"/>
        <v>1.694915254237288</v>
      </c>
      <c r="X151" s="99">
        <f t="shared" si="37"/>
        <v>6.214689265536723</v>
      </c>
    </row>
    <row r="152" spans="1:24" ht="18.75" customHeight="1">
      <c r="A152" s="150"/>
      <c r="B152" s="14" t="s">
        <v>87</v>
      </c>
      <c r="C152" s="109">
        <v>3566</v>
      </c>
      <c r="D152" s="16">
        <v>65</v>
      </c>
      <c r="E152" s="16">
        <v>116</v>
      </c>
      <c r="F152" s="16">
        <v>544</v>
      </c>
      <c r="G152" s="16">
        <v>339</v>
      </c>
      <c r="H152" s="16">
        <v>131</v>
      </c>
      <c r="I152" s="16">
        <v>228</v>
      </c>
      <c r="J152" s="16">
        <v>182</v>
      </c>
      <c r="K152" s="16">
        <v>317</v>
      </c>
      <c r="L152" s="16">
        <v>10</v>
      </c>
      <c r="M152" s="16">
        <v>680</v>
      </c>
      <c r="N152" s="16">
        <v>12</v>
      </c>
      <c r="O152" s="16">
        <v>106</v>
      </c>
      <c r="P152" s="16">
        <v>47</v>
      </c>
      <c r="Q152" s="16">
        <v>27</v>
      </c>
      <c r="R152" s="16">
        <v>92</v>
      </c>
      <c r="S152" s="16">
        <v>71</v>
      </c>
      <c r="T152" s="16">
        <v>32</v>
      </c>
      <c r="U152" s="16">
        <v>141</v>
      </c>
      <c r="V152" s="16">
        <v>91</v>
      </c>
      <c r="W152" s="16">
        <v>52</v>
      </c>
      <c r="X152" s="73">
        <v>283</v>
      </c>
    </row>
    <row r="153" spans="1:24" ht="18.75" customHeight="1" thickBot="1">
      <c r="A153" s="173"/>
      <c r="B153" s="117" t="s">
        <v>50</v>
      </c>
      <c r="C153" s="118">
        <v>100</v>
      </c>
      <c r="D153" s="45">
        <f>D152/3566*100</f>
        <v>1.8227706113292206</v>
      </c>
      <c r="E153" s="45">
        <f>E152/3566*100</f>
        <v>3.252944475602917</v>
      </c>
      <c r="F153" s="45">
        <f aca="true" t="shared" si="38" ref="F153:X153">F152/3566*100</f>
        <v>15.255187885586091</v>
      </c>
      <c r="G153" s="45">
        <f t="shared" si="38"/>
        <v>9.506449803701626</v>
      </c>
      <c r="H153" s="45">
        <f t="shared" si="38"/>
        <v>3.6735838474481213</v>
      </c>
      <c r="I153" s="45">
        <f t="shared" si="38"/>
        <v>6.3937184520471115</v>
      </c>
      <c r="J153" s="45">
        <f t="shared" si="38"/>
        <v>5.103757711721817</v>
      </c>
      <c r="K153" s="45">
        <f t="shared" si="38"/>
        <v>8.889512058328659</v>
      </c>
      <c r="L153" s="45">
        <f t="shared" si="38"/>
        <v>0.28042624789680315</v>
      </c>
      <c r="M153" s="45">
        <f t="shared" si="38"/>
        <v>19.068984856982613</v>
      </c>
      <c r="N153" s="45">
        <f t="shared" si="38"/>
        <v>0.33651149747616377</v>
      </c>
      <c r="O153" s="45">
        <f t="shared" si="38"/>
        <v>2.9725182277061135</v>
      </c>
      <c r="P153" s="45">
        <f t="shared" si="38"/>
        <v>1.3180033651149747</v>
      </c>
      <c r="Q153" s="45">
        <f t="shared" si="38"/>
        <v>0.7571508693213684</v>
      </c>
      <c r="R153" s="45">
        <f t="shared" si="38"/>
        <v>2.579921480650589</v>
      </c>
      <c r="S153" s="45">
        <f t="shared" si="38"/>
        <v>1.9910263600673024</v>
      </c>
      <c r="T153" s="45">
        <f t="shared" si="38"/>
        <v>0.89736399326977</v>
      </c>
      <c r="U153" s="45">
        <f t="shared" si="38"/>
        <v>3.9540100953449246</v>
      </c>
      <c r="V153" s="45">
        <f t="shared" si="38"/>
        <v>2.5518788558609087</v>
      </c>
      <c r="W153" s="45">
        <f t="shared" si="38"/>
        <v>1.4582164890633762</v>
      </c>
      <c r="X153" s="98">
        <f t="shared" si="38"/>
        <v>7.936062815479529</v>
      </c>
    </row>
    <row r="154" spans="1:24" ht="18.75" customHeight="1">
      <c r="A154" s="149" t="s">
        <v>132</v>
      </c>
      <c r="B154" s="24" t="s">
        <v>86</v>
      </c>
      <c r="C154" s="107">
        <f>SUM(D154:X154)</f>
        <v>195</v>
      </c>
      <c r="D154" s="26">
        <v>2</v>
      </c>
      <c r="E154" s="26">
        <v>3</v>
      </c>
      <c r="F154" s="26">
        <v>34</v>
      </c>
      <c r="G154" s="26">
        <v>20</v>
      </c>
      <c r="H154" s="26">
        <v>9</v>
      </c>
      <c r="I154" s="26">
        <v>14</v>
      </c>
      <c r="J154" s="26">
        <v>17</v>
      </c>
      <c r="K154" s="26">
        <v>15</v>
      </c>
      <c r="L154" s="26">
        <v>0</v>
      </c>
      <c r="M154" s="26">
        <v>29</v>
      </c>
      <c r="N154" s="26">
        <v>0</v>
      </c>
      <c r="O154" s="26">
        <v>11</v>
      </c>
      <c r="P154" s="26">
        <v>2</v>
      </c>
      <c r="Q154" s="26">
        <v>2</v>
      </c>
      <c r="R154" s="26">
        <v>1</v>
      </c>
      <c r="S154" s="26">
        <v>2</v>
      </c>
      <c r="T154" s="26">
        <v>1</v>
      </c>
      <c r="U154" s="26">
        <v>4</v>
      </c>
      <c r="V154" s="26">
        <v>1</v>
      </c>
      <c r="W154" s="26">
        <v>5</v>
      </c>
      <c r="X154" s="71">
        <v>23</v>
      </c>
    </row>
    <row r="155" spans="1:24" ht="18.75" customHeight="1">
      <c r="A155" s="150"/>
      <c r="B155" s="33" t="s">
        <v>50</v>
      </c>
      <c r="C155" s="108">
        <v>100</v>
      </c>
      <c r="D155" s="28">
        <f aca="true" t="shared" si="39" ref="D155:X155">D154/177*100</f>
        <v>1.1299435028248588</v>
      </c>
      <c r="E155" s="28">
        <f t="shared" si="39"/>
        <v>1.694915254237288</v>
      </c>
      <c r="F155" s="28">
        <f t="shared" si="39"/>
        <v>19.2090395480226</v>
      </c>
      <c r="G155" s="28">
        <f t="shared" si="39"/>
        <v>11.299435028248588</v>
      </c>
      <c r="H155" s="28">
        <f t="shared" si="39"/>
        <v>5.084745762711865</v>
      </c>
      <c r="I155" s="28">
        <f t="shared" si="39"/>
        <v>7.909604519774012</v>
      </c>
      <c r="J155" s="28">
        <f t="shared" si="39"/>
        <v>9.6045197740113</v>
      </c>
      <c r="K155" s="28">
        <f t="shared" si="39"/>
        <v>8.47457627118644</v>
      </c>
      <c r="L155" s="28">
        <f t="shared" si="39"/>
        <v>0</v>
      </c>
      <c r="M155" s="28">
        <f t="shared" si="39"/>
        <v>16.38418079096045</v>
      </c>
      <c r="N155" s="28">
        <f t="shared" si="39"/>
        <v>0</v>
      </c>
      <c r="O155" s="28">
        <f t="shared" si="39"/>
        <v>6.214689265536723</v>
      </c>
      <c r="P155" s="28">
        <f t="shared" si="39"/>
        <v>1.1299435028248588</v>
      </c>
      <c r="Q155" s="28">
        <f t="shared" si="39"/>
        <v>1.1299435028248588</v>
      </c>
      <c r="R155" s="28">
        <f t="shared" si="39"/>
        <v>0.5649717514124294</v>
      </c>
      <c r="S155" s="28">
        <f t="shared" si="39"/>
        <v>1.1299435028248588</v>
      </c>
      <c r="T155" s="28">
        <f t="shared" si="39"/>
        <v>0.5649717514124294</v>
      </c>
      <c r="U155" s="28">
        <f t="shared" si="39"/>
        <v>2.2598870056497176</v>
      </c>
      <c r="V155" s="28">
        <f t="shared" si="39"/>
        <v>0.5649717514124294</v>
      </c>
      <c r="W155" s="28">
        <f t="shared" si="39"/>
        <v>2.824858757062147</v>
      </c>
      <c r="X155" s="99">
        <f t="shared" si="39"/>
        <v>12.994350282485875</v>
      </c>
    </row>
    <row r="156" spans="1:24" ht="18.75" customHeight="1">
      <c r="A156" s="150"/>
      <c r="B156" s="14" t="s">
        <v>87</v>
      </c>
      <c r="C156" s="109">
        <f>SUM(D156:X156)</f>
        <v>3482</v>
      </c>
      <c r="D156" s="16">
        <v>62</v>
      </c>
      <c r="E156" s="16">
        <v>99</v>
      </c>
      <c r="F156" s="16">
        <v>492</v>
      </c>
      <c r="G156" s="16">
        <v>356</v>
      </c>
      <c r="H156" s="16">
        <v>154</v>
      </c>
      <c r="I156" s="16">
        <v>246</v>
      </c>
      <c r="J156" s="16">
        <v>203</v>
      </c>
      <c r="K156" s="16">
        <v>319</v>
      </c>
      <c r="L156" s="16">
        <v>11</v>
      </c>
      <c r="M156" s="16">
        <v>601</v>
      </c>
      <c r="N156" s="16">
        <v>12</v>
      </c>
      <c r="O156" s="16">
        <v>111</v>
      </c>
      <c r="P156" s="16">
        <v>44</v>
      </c>
      <c r="Q156" s="16">
        <v>36</v>
      </c>
      <c r="R156" s="16">
        <v>112</v>
      </c>
      <c r="S156" s="16">
        <v>90</v>
      </c>
      <c r="T156" s="16">
        <v>16</v>
      </c>
      <c r="U156" s="16">
        <v>130</v>
      </c>
      <c r="V156" s="16">
        <v>62</v>
      </c>
      <c r="W156" s="16">
        <v>50</v>
      </c>
      <c r="X156" s="73">
        <v>276</v>
      </c>
    </row>
    <row r="157" spans="1:24" ht="18.75" customHeight="1" thickBot="1">
      <c r="A157" s="173"/>
      <c r="B157" s="117" t="s">
        <v>50</v>
      </c>
      <c r="C157" s="118">
        <v>100</v>
      </c>
      <c r="D157" s="45">
        <f>D156/3566*100</f>
        <v>1.7386427369601793</v>
      </c>
      <c r="E157" s="45">
        <f>E156/3566*100</f>
        <v>2.7762198541783514</v>
      </c>
      <c r="F157" s="45">
        <f aca="true" t="shared" si="40" ref="F157:X157">F156/3566*100</f>
        <v>13.796971396522714</v>
      </c>
      <c r="G157" s="45">
        <f t="shared" si="40"/>
        <v>9.983174425126192</v>
      </c>
      <c r="H157" s="45">
        <f t="shared" si="40"/>
        <v>4.318564217610768</v>
      </c>
      <c r="I157" s="45">
        <f t="shared" si="40"/>
        <v>6.898485698261357</v>
      </c>
      <c r="J157" s="45">
        <f t="shared" si="40"/>
        <v>5.692652832305104</v>
      </c>
      <c r="K157" s="45">
        <f t="shared" si="40"/>
        <v>8.94559730790802</v>
      </c>
      <c r="L157" s="45">
        <f t="shared" si="40"/>
        <v>0.3084688726864835</v>
      </c>
      <c r="M157" s="45">
        <f t="shared" si="40"/>
        <v>16.85361749859787</v>
      </c>
      <c r="N157" s="45">
        <f t="shared" si="40"/>
        <v>0.33651149747616377</v>
      </c>
      <c r="O157" s="45">
        <f t="shared" si="40"/>
        <v>3.1127313516545145</v>
      </c>
      <c r="P157" s="45">
        <f t="shared" si="40"/>
        <v>1.233875490745934</v>
      </c>
      <c r="Q157" s="45">
        <f t="shared" si="40"/>
        <v>1.0095344924284912</v>
      </c>
      <c r="R157" s="45">
        <f t="shared" si="40"/>
        <v>3.140773976444195</v>
      </c>
      <c r="S157" s="45">
        <f t="shared" si="40"/>
        <v>2.523836231071228</v>
      </c>
      <c r="T157" s="45">
        <f t="shared" si="40"/>
        <v>0.448681996634885</v>
      </c>
      <c r="U157" s="45">
        <f t="shared" si="40"/>
        <v>3.645541222658441</v>
      </c>
      <c r="V157" s="45">
        <f t="shared" si="40"/>
        <v>1.7386427369601793</v>
      </c>
      <c r="W157" s="45">
        <f t="shared" si="40"/>
        <v>1.4021312394840157</v>
      </c>
      <c r="X157" s="98">
        <f t="shared" si="40"/>
        <v>7.739764441951767</v>
      </c>
    </row>
    <row r="158" spans="1:24" ht="18.75" customHeight="1">
      <c r="A158" s="65"/>
      <c r="B158" s="67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11:12" ht="15" customHeight="1">
      <c r="K159" s="6"/>
      <c r="L159" s="6"/>
    </row>
    <row r="160" spans="1:8" ht="15" customHeight="1" thickBot="1">
      <c r="A160" s="57" t="s">
        <v>51</v>
      </c>
      <c r="B160" s="85"/>
      <c r="H160" s="4" t="s">
        <v>91</v>
      </c>
    </row>
    <row r="161" spans="1:8" ht="15" customHeight="1">
      <c r="A161" s="80"/>
      <c r="B161" s="163" t="s">
        <v>98</v>
      </c>
      <c r="C161" s="157" t="s">
        <v>17</v>
      </c>
      <c r="D161" s="160"/>
      <c r="E161" s="160"/>
      <c r="F161" s="160"/>
      <c r="G161" s="160"/>
      <c r="H161" s="161"/>
    </row>
    <row r="162" spans="1:8" ht="19.5" customHeight="1">
      <c r="A162" s="83"/>
      <c r="B162" s="165"/>
      <c r="C162" s="158"/>
      <c r="D162" s="158" t="s">
        <v>52</v>
      </c>
      <c r="E162" s="158" t="s">
        <v>53</v>
      </c>
      <c r="F162" s="158" t="s">
        <v>54</v>
      </c>
      <c r="G162" s="158" t="s">
        <v>55</v>
      </c>
      <c r="H162" s="155" t="s">
        <v>56</v>
      </c>
    </row>
    <row r="163" spans="1:8" ht="27" customHeight="1">
      <c r="A163" s="84"/>
      <c r="B163" s="51" t="s">
        <v>92</v>
      </c>
      <c r="C163" s="159"/>
      <c r="D163" s="159"/>
      <c r="E163" s="159"/>
      <c r="F163" s="159"/>
      <c r="G163" s="159"/>
      <c r="H163" s="156"/>
    </row>
    <row r="164" spans="1:8" s="2" customFormat="1" ht="18.75" customHeight="1" hidden="1">
      <c r="A164" s="149" t="s">
        <v>84</v>
      </c>
      <c r="B164" s="30" t="s">
        <v>86</v>
      </c>
      <c r="C164" s="31">
        <v>229</v>
      </c>
      <c r="D164" s="31">
        <v>3</v>
      </c>
      <c r="E164" s="31">
        <v>100</v>
      </c>
      <c r="F164" s="31">
        <v>114</v>
      </c>
      <c r="G164" s="31">
        <v>10</v>
      </c>
      <c r="H164" s="76">
        <v>2</v>
      </c>
    </row>
    <row r="165" spans="1:8" s="2" customFormat="1" ht="18.75" customHeight="1" hidden="1">
      <c r="A165" s="150"/>
      <c r="B165" s="34" t="s">
        <v>57</v>
      </c>
      <c r="C165" s="29">
        <f aca="true" t="shared" si="41" ref="C165:H165">C164/229*100</f>
        <v>100</v>
      </c>
      <c r="D165" s="29">
        <f t="shared" si="41"/>
        <v>1.3100436681222707</v>
      </c>
      <c r="E165" s="29">
        <f t="shared" si="41"/>
        <v>43.66812227074236</v>
      </c>
      <c r="F165" s="29">
        <f t="shared" si="41"/>
        <v>49.78165938864629</v>
      </c>
      <c r="G165" s="29">
        <f t="shared" si="41"/>
        <v>4.366812227074235</v>
      </c>
      <c r="H165" s="72">
        <f t="shared" si="41"/>
        <v>0.8733624454148471</v>
      </c>
    </row>
    <row r="166" spans="1:8" ht="18.75" customHeight="1" hidden="1">
      <c r="A166" s="150"/>
      <c r="B166" s="14" t="s">
        <v>87</v>
      </c>
      <c r="C166" s="16">
        <v>3305</v>
      </c>
      <c r="D166" s="16">
        <v>62</v>
      </c>
      <c r="E166" s="16">
        <v>1531</v>
      </c>
      <c r="F166" s="16">
        <v>1500</v>
      </c>
      <c r="G166" s="16">
        <v>152</v>
      </c>
      <c r="H166" s="73">
        <v>60</v>
      </c>
    </row>
    <row r="167" spans="1:8" ht="18.75" customHeight="1" hidden="1">
      <c r="A167" s="151"/>
      <c r="B167" s="5" t="s">
        <v>77</v>
      </c>
      <c r="C167" s="1">
        <f aca="true" t="shared" si="42" ref="C167:H167">C166/3305*100</f>
        <v>100</v>
      </c>
      <c r="D167" s="1">
        <f t="shared" si="42"/>
        <v>1.8759455370650528</v>
      </c>
      <c r="E167" s="1">
        <f t="shared" si="42"/>
        <v>46.323751891074124</v>
      </c>
      <c r="F167" s="1">
        <f t="shared" si="42"/>
        <v>45.38577912254161</v>
      </c>
      <c r="G167" s="1">
        <f t="shared" si="42"/>
        <v>4.599092284417549</v>
      </c>
      <c r="H167" s="75">
        <f t="shared" si="42"/>
        <v>1.8154311649016641</v>
      </c>
    </row>
    <row r="168" spans="1:8" s="2" customFormat="1" ht="18.75" customHeight="1">
      <c r="A168" s="149" t="s">
        <v>85</v>
      </c>
      <c r="B168" s="30" t="s">
        <v>86</v>
      </c>
      <c r="C168" s="31">
        <v>189</v>
      </c>
      <c r="D168" s="31">
        <v>4</v>
      </c>
      <c r="E168" s="31">
        <v>88</v>
      </c>
      <c r="F168" s="31">
        <v>82</v>
      </c>
      <c r="G168" s="31">
        <v>10</v>
      </c>
      <c r="H168" s="76">
        <v>5</v>
      </c>
    </row>
    <row r="169" spans="1:8" s="2" customFormat="1" ht="18.75" customHeight="1">
      <c r="A169" s="150"/>
      <c r="B169" s="34" t="s">
        <v>57</v>
      </c>
      <c r="C169" s="29">
        <f aca="true" t="shared" si="43" ref="C169:H169">C168/189*100</f>
        <v>100</v>
      </c>
      <c r="D169" s="29">
        <f t="shared" si="43"/>
        <v>2.1164021164021163</v>
      </c>
      <c r="E169" s="29">
        <f t="shared" si="43"/>
        <v>46.56084656084656</v>
      </c>
      <c r="F169" s="29">
        <f t="shared" si="43"/>
        <v>43.386243386243386</v>
      </c>
      <c r="G169" s="29">
        <f t="shared" si="43"/>
        <v>5.291005291005291</v>
      </c>
      <c r="H169" s="72">
        <f t="shared" si="43"/>
        <v>2.6455026455026456</v>
      </c>
    </row>
    <row r="170" spans="1:8" ht="18.75" customHeight="1">
      <c r="A170" s="150"/>
      <c r="B170" s="14" t="s">
        <v>87</v>
      </c>
      <c r="C170" s="16">
        <v>3234</v>
      </c>
      <c r="D170" s="16">
        <v>68</v>
      </c>
      <c r="E170" s="16">
        <v>1566</v>
      </c>
      <c r="F170" s="16">
        <v>1424</v>
      </c>
      <c r="G170" s="16">
        <v>125</v>
      </c>
      <c r="H170" s="73">
        <v>51</v>
      </c>
    </row>
    <row r="171" spans="1:8" ht="18.75" customHeight="1">
      <c r="A171" s="151"/>
      <c r="B171" s="5" t="s">
        <v>77</v>
      </c>
      <c r="C171" s="1">
        <f aca="true" t="shared" si="44" ref="C171:H171">C170/3234*100</f>
        <v>100</v>
      </c>
      <c r="D171" s="1">
        <f t="shared" si="44"/>
        <v>2.102659245516388</v>
      </c>
      <c r="E171" s="1">
        <f t="shared" si="44"/>
        <v>48.42300556586271</v>
      </c>
      <c r="F171" s="1">
        <f t="shared" si="44"/>
        <v>44.03215831787261</v>
      </c>
      <c r="G171" s="1">
        <f t="shared" si="44"/>
        <v>3.865182436611008</v>
      </c>
      <c r="H171" s="75">
        <f t="shared" si="44"/>
        <v>1.5769944341372915</v>
      </c>
    </row>
    <row r="172" spans="1:8" ht="18.75" customHeight="1">
      <c r="A172" s="149" t="s">
        <v>104</v>
      </c>
      <c r="B172" s="30" t="s">
        <v>86</v>
      </c>
      <c r="C172" s="31">
        <v>217</v>
      </c>
      <c r="D172" s="31">
        <v>2</v>
      </c>
      <c r="E172" s="31">
        <v>80</v>
      </c>
      <c r="F172" s="31">
        <v>127</v>
      </c>
      <c r="G172" s="31">
        <v>4</v>
      </c>
      <c r="H172" s="76">
        <v>4</v>
      </c>
    </row>
    <row r="173" spans="1:8" ht="18.75" customHeight="1">
      <c r="A173" s="150"/>
      <c r="B173" s="34" t="s">
        <v>57</v>
      </c>
      <c r="C173" s="29">
        <f>SUM(D173:H173)</f>
        <v>100.00000000000001</v>
      </c>
      <c r="D173" s="29">
        <f>D172/217*100</f>
        <v>0.9216589861751152</v>
      </c>
      <c r="E173" s="29">
        <f>E172/217*100</f>
        <v>36.86635944700461</v>
      </c>
      <c r="F173" s="29">
        <f>F172/217*100</f>
        <v>58.525345622119815</v>
      </c>
      <c r="G173" s="29">
        <f>G172/217*100</f>
        <v>1.8433179723502304</v>
      </c>
      <c r="H173" s="72">
        <f>H172/217*100</f>
        <v>1.8433179723502304</v>
      </c>
    </row>
    <row r="174" spans="1:8" ht="18.75" customHeight="1">
      <c r="A174" s="150"/>
      <c r="B174" s="14" t="s">
        <v>87</v>
      </c>
      <c r="C174" s="16">
        <v>3294</v>
      </c>
      <c r="D174" s="16">
        <v>67</v>
      </c>
      <c r="E174" s="16">
        <v>1657</v>
      </c>
      <c r="F174" s="16">
        <v>1386</v>
      </c>
      <c r="G174" s="16">
        <v>131</v>
      </c>
      <c r="H174" s="73">
        <v>53</v>
      </c>
    </row>
    <row r="175" spans="1:8" ht="18.75" customHeight="1">
      <c r="A175" s="151"/>
      <c r="B175" s="5" t="s">
        <v>77</v>
      </c>
      <c r="C175" s="1">
        <f>SUM(D175:H175)</f>
        <v>100</v>
      </c>
      <c r="D175" s="1">
        <f>D174/3294*100</f>
        <v>2.0340012143290833</v>
      </c>
      <c r="E175" s="1">
        <f>E174/3294*100</f>
        <v>50.30358227079539</v>
      </c>
      <c r="F175" s="1">
        <f>F174/3294*100</f>
        <v>42.07650273224044</v>
      </c>
      <c r="G175" s="1">
        <f>G174/3294*100</f>
        <v>3.976927747419551</v>
      </c>
      <c r="H175" s="75">
        <f>H174/3294*100</f>
        <v>1.6089860352155434</v>
      </c>
    </row>
    <row r="176" spans="1:8" ht="18.75" customHeight="1">
      <c r="A176" s="149" t="s">
        <v>106</v>
      </c>
      <c r="B176" s="30" t="s">
        <v>86</v>
      </c>
      <c r="C176" s="31">
        <v>218</v>
      </c>
      <c r="D176" s="31">
        <v>3</v>
      </c>
      <c r="E176" s="31">
        <v>98</v>
      </c>
      <c r="F176" s="31">
        <v>105</v>
      </c>
      <c r="G176" s="31">
        <v>12</v>
      </c>
      <c r="H176" s="76">
        <v>0</v>
      </c>
    </row>
    <row r="177" spans="1:8" ht="18.75" customHeight="1">
      <c r="A177" s="150"/>
      <c r="B177" s="34" t="s">
        <v>57</v>
      </c>
      <c r="C177" s="29">
        <v>100</v>
      </c>
      <c r="D177" s="29">
        <v>1.3761467889908259</v>
      </c>
      <c r="E177" s="29">
        <v>44.95412844036697</v>
      </c>
      <c r="F177" s="29">
        <v>48.1651376146789</v>
      </c>
      <c r="G177" s="29">
        <v>5.5045871559633035</v>
      </c>
      <c r="H177" s="72">
        <v>0</v>
      </c>
    </row>
    <row r="178" spans="1:10" ht="18.75" customHeight="1">
      <c r="A178" s="150"/>
      <c r="B178" s="14" t="s">
        <v>87</v>
      </c>
      <c r="C178" s="16">
        <v>3445</v>
      </c>
      <c r="D178" s="16">
        <v>71</v>
      </c>
      <c r="E178" s="16">
        <v>1790</v>
      </c>
      <c r="F178" s="16">
        <v>1369</v>
      </c>
      <c r="G178" s="16">
        <v>172</v>
      </c>
      <c r="H178" s="73">
        <v>43</v>
      </c>
      <c r="J178" s="6"/>
    </row>
    <row r="179" spans="1:8" ht="18.75" customHeight="1">
      <c r="A179" s="151"/>
      <c r="B179" s="5" t="s">
        <v>77</v>
      </c>
      <c r="C179" s="1">
        <v>100</v>
      </c>
      <c r="D179" s="1">
        <v>2.0609579100145137</v>
      </c>
      <c r="E179" s="1">
        <v>51.959361393323654</v>
      </c>
      <c r="F179" s="1">
        <v>39.73875181422351</v>
      </c>
      <c r="G179" s="1">
        <v>4.9927431059506535</v>
      </c>
      <c r="H179" s="75">
        <v>1.2481857764876634</v>
      </c>
    </row>
    <row r="180" spans="1:9" ht="18.75" customHeight="1">
      <c r="A180" s="149" t="s">
        <v>120</v>
      </c>
      <c r="B180" s="30" t="s">
        <v>86</v>
      </c>
      <c r="C180" s="26">
        <v>206</v>
      </c>
      <c r="D180" s="100">
        <v>4</v>
      </c>
      <c r="E180" s="101">
        <v>101</v>
      </c>
      <c r="F180" s="100">
        <v>92</v>
      </c>
      <c r="G180" s="26">
        <v>8</v>
      </c>
      <c r="H180" s="86">
        <v>1</v>
      </c>
      <c r="I180" s="6"/>
    </row>
    <row r="181" spans="1:8" ht="18.75" customHeight="1">
      <c r="A181" s="150"/>
      <c r="B181" s="34" t="s">
        <v>57</v>
      </c>
      <c r="C181" s="29">
        <v>100</v>
      </c>
      <c r="D181" s="104">
        <f>D180/206*100</f>
        <v>1.9417475728155338</v>
      </c>
      <c r="E181" s="104">
        <f>E180/206*100</f>
        <v>49.029126213592235</v>
      </c>
      <c r="F181" s="104">
        <f>F180/206*100</f>
        <v>44.66019417475729</v>
      </c>
      <c r="G181" s="104">
        <f>G180/206*100</f>
        <v>3.8834951456310676</v>
      </c>
      <c r="H181" s="99">
        <f>H180/206*100</f>
        <v>0.48543689320388345</v>
      </c>
    </row>
    <row r="182" spans="1:8" ht="18.75" customHeight="1">
      <c r="A182" s="150"/>
      <c r="B182" s="14" t="s">
        <v>87</v>
      </c>
      <c r="C182" s="16">
        <v>3435</v>
      </c>
      <c r="D182" s="16">
        <v>76</v>
      </c>
      <c r="E182" s="16">
        <v>1773</v>
      </c>
      <c r="F182" s="16">
        <v>1376</v>
      </c>
      <c r="G182" s="16">
        <v>153</v>
      </c>
      <c r="H182" s="73">
        <v>57</v>
      </c>
    </row>
    <row r="183" spans="1:8" ht="18.75" customHeight="1">
      <c r="A183" s="150"/>
      <c r="B183" s="46" t="s">
        <v>77</v>
      </c>
      <c r="C183" s="111">
        <v>100</v>
      </c>
      <c r="D183" s="112">
        <f>D182/3435*100</f>
        <v>2.212518195050946</v>
      </c>
      <c r="E183" s="112">
        <f>E182/3435*100</f>
        <v>51.61572052401747</v>
      </c>
      <c r="F183" s="112">
        <v>40</v>
      </c>
      <c r="G183" s="112">
        <f>G182/3435*100</f>
        <v>4.45414847161572</v>
      </c>
      <c r="H183" s="74">
        <f>H182/3435*100</f>
        <v>1.6593886462882095</v>
      </c>
    </row>
    <row r="184" spans="1:8" ht="18.75" customHeight="1">
      <c r="A184" s="149" t="s">
        <v>127</v>
      </c>
      <c r="B184" s="24" t="s">
        <v>86</v>
      </c>
      <c r="C184" s="119">
        <v>152</v>
      </c>
      <c r="D184" s="100">
        <v>0</v>
      </c>
      <c r="E184" s="101">
        <v>72</v>
      </c>
      <c r="F184" s="100">
        <v>69</v>
      </c>
      <c r="G184" s="26">
        <v>11</v>
      </c>
      <c r="H184" s="120">
        <v>0</v>
      </c>
    </row>
    <row r="185" spans="1:8" ht="18.75" customHeight="1">
      <c r="A185" s="150"/>
      <c r="B185" s="34" t="s">
        <v>57</v>
      </c>
      <c r="C185" s="121">
        <v>100</v>
      </c>
      <c r="D185" s="104">
        <f>D184/152*100</f>
        <v>0</v>
      </c>
      <c r="E185" s="104">
        <f>E184/152*100</f>
        <v>47.368421052631575</v>
      </c>
      <c r="F185" s="104">
        <f>F184/152*100</f>
        <v>45.39473684210527</v>
      </c>
      <c r="G185" s="104">
        <f>G184/152*100</f>
        <v>7.236842105263158</v>
      </c>
      <c r="H185" s="72">
        <f>H184/152*100</f>
        <v>0</v>
      </c>
    </row>
    <row r="186" spans="1:8" ht="18.75" customHeight="1">
      <c r="A186" s="150"/>
      <c r="B186" s="14" t="s">
        <v>87</v>
      </c>
      <c r="C186" s="122">
        <v>3243</v>
      </c>
      <c r="D186" s="16">
        <v>69</v>
      </c>
      <c r="E186" s="16">
        <v>1659</v>
      </c>
      <c r="F186" s="16">
        <v>1280</v>
      </c>
      <c r="G186" s="16">
        <v>179</v>
      </c>
      <c r="H186" s="73">
        <v>56</v>
      </c>
    </row>
    <row r="187" spans="1:8" ht="18.75" customHeight="1">
      <c r="A187" s="151"/>
      <c r="B187" s="5" t="s">
        <v>77</v>
      </c>
      <c r="C187" s="123">
        <v>100</v>
      </c>
      <c r="D187" s="124">
        <f>D186/3243*100</f>
        <v>2.127659574468085</v>
      </c>
      <c r="E187" s="124">
        <f>E186/3243*100</f>
        <v>51.15633672525439</v>
      </c>
      <c r="F187" s="124">
        <f>F186/3243*100</f>
        <v>39.469626888683315</v>
      </c>
      <c r="G187" s="124">
        <f>G186/3243*100</f>
        <v>5.519580635214308</v>
      </c>
      <c r="H187" s="75">
        <f>H186/3243*100</f>
        <v>1.7267961763798954</v>
      </c>
    </row>
    <row r="188" spans="1:8" ht="18.75" customHeight="1">
      <c r="A188" s="150" t="s">
        <v>128</v>
      </c>
      <c r="B188" s="30" t="s">
        <v>86</v>
      </c>
      <c r="C188" s="125">
        <v>190</v>
      </c>
      <c r="D188" s="126">
        <v>6</v>
      </c>
      <c r="E188" s="127">
        <v>92</v>
      </c>
      <c r="F188" s="126">
        <v>73</v>
      </c>
      <c r="G188" s="31">
        <v>18</v>
      </c>
      <c r="H188" s="128">
        <v>1</v>
      </c>
    </row>
    <row r="189" spans="1:8" ht="18.75" customHeight="1">
      <c r="A189" s="150"/>
      <c r="B189" s="34" t="s">
        <v>57</v>
      </c>
      <c r="C189" s="121">
        <v>100</v>
      </c>
      <c r="D189" s="104">
        <f>D188/190*100</f>
        <v>3.1578947368421053</v>
      </c>
      <c r="E189" s="104">
        <f>E188/190*100</f>
        <v>48.421052631578945</v>
      </c>
      <c r="F189" s="104">
        <f>F188/190*100</f>
        <v>38.421052631578945</v>
      </c>
      <c r="G189" s="104">
        <f>G188/190*100</f>
        <v>9.473684210526317</v>
      </c>
      <c r="H189" s="72">
        <f>H188/190*100</f>
        <v>0.5263157894736842</v>
      </c>
    </row>
    <row r="190" spans="1:8" ht="18.75" customHeight="1">
      <c r="A190" s="150"/>
      <c r="B190" s="14" t="s">
        <v>87</v>
      </c>
      <c r="C190" s="122">
        <v>3265</v>
      </c>
      <c r="D190" s="16">
        <v>61</v>
      </c>
      <c r="E190" s="16">
        <v>1741</v>
      </c>
      <c r="F190" s="16">
        <v>1238</v>
      </c>
      <c r="G190" s="16">
        <v>161</v>
      </c>
      <c r="H190" s="73">
        <v>64</v>
      </c>
    </row>
    <row r="191" spans="1:8" ht="18.75" customHeight="1">
      <c r="A191" s="150"/>
      <c r="B191" s="46" t="s">
        <v>77</v>
      </c>
      <c r="C191" s="111">
        <v>100</v>
      </c>
      <c r="D191" s="112">
        <f>D190/3265*100</f>
        <v>1.8683001531393568</v>
      </c>
      <c r="E191" s="112">
        <f>E190/3265*100</f>
        <v>53.32312404287902</v>
      </c>
      <c r="F191" s="112">
        <f>F190/3265*100</f>
        <v>37.91730474732006</v>
      </c>
      <c r="G191" s="112">
        <f>G190/3265*100</f>
        <v>4.931087289433385</v>
      </c>
      <c r="H191" s="74">
        <f>H190/3265*100</f>
        <v>1.9601837672281777</v>
      </c>
    </row>
    <row r="192" spans="1:8" ht="18.75" customHeight="1">
      <c r="A192" s="149" t="s">
        <v>130</v>
      </c>
      <c r="B192" s="24" t="s">
        <v>86</v>
      </c>
      <c r="C192" s="119">
        <v>185</v>
      </c>
      <c r="D192" s="100">
        <v>3</v>
      </c>
      <c r="E192" s="101">
        <v>98</v>
      </c>
      <c r="F192" s="100">
        <v>76</v>
      </c>
      <c r="G192" s="26">
        <v>6</v>
      </c>
      <c r="H192" s="120">
        <v>2</v>
      </c>
    </row>
    <row r="193" spans="1:8" ht="18.75" customHeight="1">
      <c r="A193" s="150"/>
      <c r="B193" s="34" t="s">
        <v>57</v>
      </c>
      <c r="C193" s="121">
        <v>100</v>
      </c>
      <c r="D193" s="104">
        <f>D192/185*100</f>
        <v>1.6216216216216217</v>
      </c>
      <c r="E193" s="104">
        <f>E192/185*100</f>
        <v>52.972972972972975</v>
      </c>
      <c r="F193" s="104">
        <f>F192/185*100</f>
        <v>41.08108108108108</v>
      </c>
      <c r="G193" s="104">
        <f>G192/185*100</f>
        <v>3.2432432432432434</v>
      </c>
      <c r="H193" s="99">
        <f>H192/185*100</f>
        <v>1.0810810810810811</v>
      </c>
    </row>
    <row r="194" spans="1:8" ht="18.75" customHeight="1">
      <c r="A194" s="150"/>
      <c r="B194" s="14" t="s">
        <v>87</v>
      </c>
      <c r="C194" s="122">
        <v>3284</v>
      </c>
      <c r="D194" s="16">
        <v>71</v>
      </c>
      <c r="E194" s="16">
        <v>1736</v>
      </c>
      <c r="F194" s="16">
        <v>1229</v>
      </c>
      <c r="G194" s="16">
        <v>188</v>
      </c>
      <c r="H194" s="73">
        <v>60</v>
      </c>
    </row>
    <row r="195" spans="1:8" ht="18.75" customHeight="1" thickBot="1">
      <c r="A195" s="173"/>
      <c r="B195" s="48" t="s">
        <v>77</v>
      </c>
      <c r="C195" s="129">
        <v>100</v>
      </c>
      <c r="D195" s="105">
        <f>D194/3284*100</f>
        <v>2.161997563946407</v>
      </c>
      <c r="E195" s="105">
        <f>E194/3284*100</f>
        <v>52.86236297198539</v>
      </c>
      <c r="F195" s="105">
        <f>F194/3284*100</f>
        <v>37.42387332521315</v>
      </c>
      <c r="G195" s="105">
        <f>G194/3284*100</f>
        <v>5.724725943970768</v>
      </c>
      <c r="H195" s="98">
        <f>H194/3284*100</f>
        <v>1.8270401948842874</v>
      </c>
    </row>
    <row r="196" spans="1:8" ht="18.75" customHeight="1">
      <c r="A196" s="149" t="s">
        <v>132</v>
      </c>
      <c r="B196" s="24" t="s">
        <v>86</v>
      </c>
      <c r="C196" s="119">
        <f>SUM(D196:H196)</f>
        <v>194</v>
      </c>
      <c r="D196" s="100">
        <v>0</v>
      </c>
      <c r="E196" s="101">
        <v>102</v>
      </c>
      <c r="F196" s="100">
        <v>74</v>
      </c>
      <c r="G196" s="26">
        <v>12</v>
      </c>
      <c r="H196" s="120">
        <v>6</v>
      </c>
    </row>
    <row r="197" spans="1:8" ht="18.75" customHeight="1">
      <c r="A197" s="150"/>
      <c r="B197" s="34" t="s">
        <v>57</v>
      </c>
      <c r="C197" s="121">
        <v>100</v>
      </c>
      <c r="D197" s="104">
        <f>D196/185*100</f>
        <v>0</v>
      </c>
      <c r="E197" s="104">
        <f>E196/185*100</f>
        <v>55.13513513513514</v>
      </c>
      <c r="F197" s="104">
        <f>F196/185*100</f>
        <v>40</v>
      </c>
      <c r="G197" s="104">
        <f>G196/185*100</f>
        <v>6.486486486486487</v>
      </c>
      <c r="H197" s="99">
        <f>H196/185*100</f>
        <v>3.2432432432432434</v>
      </c>
    </row>
    <row r="198" spans="1:8" ht="18.75" customHeight="1">
      <c r="A198" s="150"/>
      <c r="B198" s="14" t="s">
        <v>87</v>
      </c>
      <c r="C198" s="122">
        <f>SUM(D198:H198)</f>
        <v>3350</v>
      </c>
      <c r="D198" s="16">
        <v>82</v>
      </c>
      <c r="E198" s="16">
        <v>1812</v>
      </c>
      <c r="F198" s="16">
        <v>1194</v>
      </c>
      <c r="G198" s="16">
        <v>194</v>
      </c>
      <c r="H198" s="73">
        <v>68</v>
      </c>
    </row>
    <row r="199" spans="1:8" ht="18.75" customHeight="1" thickBot="1">
      <c r="A199" s="173"/>
      <c r="B199" s="48" t="s">
        <v>77</v>
      </c>
      <c r="C199" s="129">
        <v>100</v>
      </c>
      <c r="D199" s="105">
        <f>D198/3284*100</f>
        <v>2.496954933008526</v>
      </c>
      <c r="E199" s="105">
        <f>E198/3284*100</f>
        <v>55.176613885505475</v>
      </c>
      <c r="F199" s="105">
        <f>F198/3284*100</f>
        <v>36.35809987819732</v>
      </c>
      <c r="G199" s="105">
        <f>G198/3284*100</f>
        <v>5.907429963459196</v>
      </c>
      <c r="H199" s="98">
        <f>H198/3284*100</f>
        <v>2.0706455542021924</v>
      </c>
    </row>
    <row r="200" spans="3:8" ht="18.75" customHeight="1">
      <c r="C200" s="62"/>
      <c r="D200" s="62"/>
      <c r="E200" s="62"/>
      <c r="F200" s="62"/>
      <c r="G200" s="62"/>
      <c r="H200" s="62"/>
    </row>
    <row r="201" spans="3:8" ht="18.75" customHeight="1">
      <c r="C201" s="62"/>
      <c r="D201" s="62"/>
      <c r="E201" s="62"/>
      <c r="F201" s="62"/>
      <c r="G201" s="62"/>
      <c r="H201" s="62"/>
    </row>
    <row r="202" spans="3:8" ht="18.75" customHeight="1">
      <c r="C202" s="62"/>
      <c r="D202" s="62"/>
      <c r="E202" s="62"/>
      <c r="F202" s="62"/>
      <c r="G202" s="62"/>
      <c r="H202" s="62"/>
    </row>
    <row r="203" spans="3:8" ht="18.75" customHeight="1">
      <c r="C203" s="62"/>
      <c r="D203" s="62"/>
      <c r="E203" s="62"/>
      <c r="F203" s="62"/>
      <c r="G203" s="62"/>
      <c r="H203" s="62"/>
    </row>
    <row r="204" spans="3:8" ht="18.75" customHeight="1">
      <c r="C204" s="62"/>
      <c r="D204" s="62"/>
      <c r="E204" s="62"/>
      <c r="F204" s="62"/>
      <c r="G204" s="62"/>
      <c r="H204" s="62"/>
    </row>
    <row r="205" spans="3:8" ht="18.75" customHeight="1">
      <c r="C205" s="62"/>
      <c r="D205" s="62"/>
      <c r="E205" s="62"/>
      <c r="F205" s="62"/>
      <c r="G205" s="62"/>
      <c r="H205" s="62"/>
    </row>
    <row r="206" spans="3:8" ht="18.75" customHeight="1">
      <c r="C206" s="62"/>
      <c r="D206" s="62"/>
      <c r="E206" s="62"/>
      <c r="F206" s="62"/>
      <c r="G206" s="62"/>
      <c r="H206" s="62"/>
    </row>
    <row r="207" spans="3:8" ht="18.75" customHeight="1">
      <c r="C207" s="62"/>
      <c r="D207" s="62"/>
      <c r="E207" s="62"/>
      <c r="F207" s="62"/>
      <c r="G207" s="62"/>
      <c r="H207" s="62"/>
    </row>
    <row r="208" spans="3:8" ht="18.75" customHeight="1">
      <c r="C208" s="62"/>
      <c r="D208" s="62"/>
      <c r="E208" s="62"/>
      <c r="F208" s="62"/>
      <c r="G208" s="62"/>
      <c r="H208" s="62"/>
    </row>
    <row r="209" spans="3:8" ht="18.75" customHeight="1">
      <c r="C209" s="62"/>
      <c r="D209" s="62"/>
      <c r="E209" s="62"/>
      <c r="F209" s="62"/>
      <c r="G209" s="62"/>
      <c r="H209" s="62"/>
    </row>
    <row r="210" spans="3:8" ht="18.75" customHeight="1">
      <c r="C210" s="62"/>
      <c r="D210" s="62"/>
      <c r="E210" s="62"/>
      <c r="F210" s="62"/>
      <c r="G210" s="62"/>
      <c r="H210" s="62"/>
    </row>
    <row r="211" spans="3:8" ht="18.75" customHeight="1">
      <c r="C211" s="62"/>
      <c r="D211" s="62"/>
      <c r="E211" s="62"/>
      <c r="F211" s="62"/>
      <c r="G211" s="62"/>
      <c r="H211" s="62"/>
    </row>
    <row r="212" spans="3:8" ht="18.75" customHeight="1">
      <c r="C212" s="62"/>
      <c r="D212" s="62"/>
      <c r="E212" s="62"/>
      <c r="F212" s="62"/>
      <c r="G212" s="62"/>
      <c r="H212" s="62"/>
    </row>
    <row r="213" spans="3:8" ht="18.75" customHeight="1">
      <c r="C213" s="62"/>
      <c r="D213" s="62"/>
      <c r="E213" s="62"/>
      <c r="F213" s="62"/>
      <c r="G213" s="62"/>
      <c r="H213" s="62"/>
    </row>
    <row r="214" spans="3:8" ht="18.75" customHeight="1">
      <c r="C214" s="62"/>
      <c r="D214" s="62"/>
      <c r="E214" s="62"/>
      <c r="F214" s="62"/>
      <c r="G214" s="62"/>
      <c r="H214" s="62"/>
    </row>
    <row r="215" spans="1:11" ht="15" customHeight="1" thickBot="1">
      <c r="A215" s="43" t="s">
        <v>58</v>
      </c>
      <c r="B215" s="43"/>
      <c r="C215" s="41"/>
      <c r="D215" s="41"/>
      <c r="K215" s="4" t="s">
        <v>91</v>
      </c>
    </row>
    <row r="216" spans="1:11" ht="15" customHeight="1">
      <c r="A216" s="80"/>
      <c r="B216" s="163" t="s">
        <v>99</v>
      </c>
      <c r="C216" s="157" t="s">
        <v>114</v>
      </c>
      <c r="D216" s="160"/>
      <c r="E216" s="160"/>
      <c r="F216" s="160"/>
      <c r="G216" s="160"/>
      <c r="H216" s="160"/>
      <c r="I216" s="160"/>
      <c r="J216" s="160"/>
      <c r="K216" s="161"/>
    </row>
    <row r="217" spans="1:11" ht="19.5" customHeight="1">
      <c r="A217" s="83"/>
      <c r="B217" s="165"/>
      <c r="C217" s="158"/>
      <c r="D217" s="158" t="s">
        <v>60</v>
      </c>
      <c r="E217" s="158" t="s">
        <v>61</v>
      </c>
      <c r="F217" s="158" t="s">
        <v>62</v>
      </c>
      <c r="G217" s="158" t="s">
        <v>63</v>
      </c>
      <c r="H217" s="158" t="s">
        <v>64</v>
      </c>
      <c r="I217" s="158" t="s">
        <v>65</v>
      </c>
      <c r="J217" s="158" t="s">
        <v>66</v>
      </c>
      <c r="K217" s="155" t="s">
        <v>67</v>
      </c>
    </row>
    <row r="218" spans="1:11" ht="19.5" customHeight="1">
      <c r="A218" s="84"/>
      <c r="B218" s="51" t="s">
        <v>92</v>
      </c>
      <c r="C218" s="159"/>
      <c r="D218" s="159"/>
      <c r="E218" s="159"/>
      <c r="F218" s="159"/>
      <c r="G218" s="159"/>
      <c r="H218" s="159"/>
      <c r="I218" s="159"/>
      <c r="J218" s="159"/>
      <c r="K218" s="156"/>
    </row>
    <row r="219" spans="1:11" s="2" customFormat="1" ht="18.75" customHeight="1">
      <c r="A219" s="149" t="s">
        <v>84</v>
      </c>
      <c r="B219" s="30" t="s">
        <v>86</v>
      </c>
      <c r="C219" s="31">
        <v>100</v>
      </c>
      <c r="D219" s="31">
        <v>2</v>
      </c>
      <c r="E219" s="31">
        <v>19</v>
      </c>
      <c r="F219" s="31">
        <v>9</v>
      </c>
      <c r="G219" s="31">
        <v>3</v>
      </c>
      <c r="H219" s="31">
        <v>3</v>
      </c>
      <c r="I219" s="31">
        <v>6</v>
      </c>
      <c r="J219" s="31">
        <v>57</v>
      </c>
      <c r="K219" s="76">
        <v>1</v>
      </c>
    </row>
    <row r="220" spans="1:11" s="2" customFormat="1" ht="18.75" customHeight="1">
      <c r="A220" s="150"/>
      <c r="B220" s="32" t="s">
        <v>59</v>
      </c>
      <c r="C220" s="29">
        <f>C219/100*100</f>
        <v>100</v>
      </c>
      <c r="D220" s="29">
        <f aca="true" t="shared" si="45" ref="D220:K220">D219/100*100</f>
        <v>2</v>
      </c>
      <c r="E220" s="29">
        <f t="shared" si="45"/>
        <v>19</v>
      </c>
      <c r="F220" s="29">
        <f t="shared" si="45"/>
        <v>9</v>
      </c>
      <c r="G220" s="29">
        <f t="shared" si="45"/>
        <v>3</v>
      </c>
      <c r="H220" s="29">
        <f t="shared" si="45"/>
        <v>3</v>
      </c>
      <c r="I220" s="29">
        <f t="shared" si="45"/>
        <v>6</v>
      </c>
      <c r="J220" s="29">
        <f t="shared" si="45"/>
        <v>56.99999999999999</v>
      </c>
      <c r="K220" s="72">
        <f t="shared" si="45"/>
        <v>1</v>
      </c>
    </row>
    <row r="221" spans="1:11" ht="18.75" customHeight="1">
      <c r="A221" s="150"/>
      <c r="B221" s="14" t="s">
        <v>87</v>
      </c>
      <c r="C221" s="16">
        <v>1531</v>
      </c>
      <c r="D221" s="16">
        <v>20</v>
      </c>
      <c r="E221" s="16">
        <v>408</v>
      </c>
      <c r="F221" s="16">
        <v>170</v>
      </c>
      <c r="G221" s="16">
        <v>71</v>
      </c>
      <c r="H221" s="16">
        <v>30</v>
      </c>
      <c r="I221" s="16">
        <v>189</v>
      </c>
      <c r="J221" s="16">
        <v>612</v>
      </c>
      <c r="K221" s="73">
        <v>31</v>
      </c>
    </row>
    <row r="222" spans="1:11" ht="18.75" customHeight="1">
      <c r="A222" s="151"/>
      <c r="B222" s="5" t="s">
        <v>78</v>
      </c>
      <c r="C222" s="1">
        <f>C221/1531*100</f>
        <v>100</v>
      </c>
      <c r="D222" s="1">
        <f aca="true" t="shared" si="46" ref="D222:K222">D221/1531*100</f>
        <v>1.3063357282821686</v>
      </c>
      <c r="E222" s="1">
        <f t="shared" si="46"/>
        <v>26.649248856956238</v>
      </c>
      <c r="F222" s="1">
        <f t="shared" si="46"/>
        <v>11.103853690398433</v>
      </c>
      <c r="G222" s="1">
        <f t="shared" si="46"/>
        <v>4.637491835401699</v>
      </c>
      <c r="H222" s="1">
        <f t="shared" si="46"/>
        <v>1.9595035924232527</v>
      </c>
      <c r="I222" s="1">
        <f t="shared" si="46"/>
        <v>12.344872632266494</v>
      </c>
      <c r="J222" s="1">
        <f t="shared" si="46"/>
        <v>39.97387328543436</v>
      </c>
      <c r="K222" s="75">
        <f t="shared" si="46"/>
        <v>2.024820378837361</v>
      </c>
    </row>
    <row r="223" spans="1:11" s="2" customFormat="1" ht="18.75" customHeight="1">
      <c r="A223" s="149" t="s">
        <v>85</v>
      </c>
      <c r="B223" s="30" t="s">
        <v>86</v>
      </c>
      <c r="C223" s="31">
        <v>88</v>
      </c>
      <c r="D223" s="31">
        <v>0</v>
      </c>
      <c r="E223" s="31">
        <v>20</v>
      </c>
      <c r="F223" s="31">
        <v>13</v>
      </c>
      <c r="G223" s="31">
        <v>3</v>
      </c>
      <c r="H223" s="31">
        <v>2</v>
      </c>
      <c r="I223" s="31">
        <v>9</v>
      </c>
      <c r="J223" s="31">
        <v>39</v>
      </c>
      <c r="K223" s="76">
        <v>2</v>
      </c>
    </row>
    <row r="224" spans="1:11" s="2" customFormat="1" ht="18.75" customHeight="1">
      <c r="A224" s="150"/>
      <c r="B224" s="32" t="s">
        <v>59</v>
      </c>
      <c r="C224" s="29">
        <f>C223/88*100</f>
        <v>100</v>
      </c>
      <c r="D224" s="29">
        <f aca="true" t="shared" si="47" ref="D224:K224">D223/88*100</f>
        <v>0</v>
      </c>
      <c r="E224" s="29">
        <f t="shared" si="47"/>
        <v>22.727272727272727</v>
      </c>
      <c r="F224" s="29">
        <f t="shared" si="47"/>
        <v>14.772727272727273</v>
      </c>
      <c r="G224" s="29">
        <f t="shared" si="47"/>
        <v>3.4090909090909087</v>
      </c>
      <c r="H224" s="29">
        <f t="shared" si="47"/>
        <v>2.272727272727273</v>
      </c>
      <c r="I224" s="29">
        <f t="shared" si="47"/>
        <v>10.227272727272728</v>
      </c>
      <c r="J224" s="29">
        <f t="shared" si="47"/>
        <v>44.31818181818182</v>
      </c>
      <c r="K224" s="72">
        <f t="shared" si="47"/>
        <v>2.272727272727273</v>
      </c>
    </row>
    <row r="225" spans="1:11" ht="18.75" customHeight="1">
      <c r="A225" s="150"/>
      <c r="B225" s="14" t="s">
        <v>87</v>
      </c>
      <c r="C225" s="16">
        <v>1566</v>
      </c>
      <c r="D225" s="16">
        <v>11</v>
      </c>
      <c r="E225" s="16">
        <v>431</v>
      </c>
      <c r="F225" s="16">
        <v>169</v>
      </c>
      <c r="G225" s="16">
        <v>73</v>
      </c>
      <c r="H225" s="16">
        <v>34</v>
      </c>
      <c r="I225" s="16">
        <v>201</v>
      </c>
      <c r="J225" s="16">
        <v>629</v>
      </c>
      <c r="K225" s="73">
        <v>18</v>
      </c>
    </row>
    <row r="226" spans="1:12" ht="18.75" customHeight="1">
      <c r="A226" s="151"/>
      <c r="B226" s="5" t="s">
        <v>78</v>
      </c>
      <c r="C226" s="1">
        <f>C225/1566*100</f>
        <v>100</v>
      </c>
      <c r="D226" s="1">
        <f aca="true" t="shared" si="48" ref="D226:K226">D225/1566*100</f>
        <v>0.70242656449553</v>
      </c>
      <c r="E226" s="1">
        <f t="shared" si="48"/>
        <v>27.522349936143037</v>
      </c>
      <c r="F226" s="1">
        <f t="shared" si="48"/>
        <v>10.79182630906769</v>
      </c>
      <c r="G226" s="1">
        <f t="shared" si="48"/>
        <v>4.6615581098339725</v>
      </c>
      <c r="H226" s="1">
        <f t="shared" si="48"/>
        <v>2.1711366538952745</v>
      </c>
      <c r="I226" s="1">
        <f t="shared" si="48"/>
        <v>12.835249042145595</v>
      </c>
      <c r="J226" s="1">
        <f t="shared" si="48"/>
        <v>40.16602809706258</v>
      </c>
      <c r="K226" s="75">
        <f t="shared" si="48"/>
        <v>1.1494252873563218</v>
      </c>
      <c r="L226" s="63"/>
    </row>
    <row r="227" spans="1:11" ht="18.75" customHeight="1">
      <c r="A227" s="149" t="s">
        <v>104</v>
      </c>
      <c r="B227" s="30" t="s">
        <v>86</v>
      </c>
      <c r="C227" s="31">
        <v>80</v>
      </c>
      <c r="D227" s="31">
        <v>2</v>
      </c>
      <c r="E227" s="31">
        <v>25</v>
      </c>
      <c r="F227" s="31">
        <v>10</v>
      </c>
      <c r="G227" s="31">
        <v>4</v>
      </c>
      <c r="H227" s="31">
        <v>1</v>
      </c>
      <c r="I227" s="31">
        <v>7</v>
      </c>
      <c r="J227" s="31">
        <v>25</v>
      </c>
      <c r="K227" s="76">
        <v>6</v>
      </c>
    </row>
    <row r="228" spans="1:11" ht="18.75" customHeight="1">
      <c r="A228" s="150"/>
      <c r="B228" s="32" t="s">
        <v>59</v>
      </c>
      <c r="C228" s="47">
        <f>SUM(D228:K228)</f>
        <v>100</v>
      </c>
      <c r="D228" s="29">
        <f>D227/80*100</f>
        <v>2.5</v>
      </c>
      <c r="E228" s="29">
        <f aca="true" t="shared" si="49" ref="E228:K228">E227/80*100</f>
        <v>31.25</v>
      </c>
      <c r="F228" s="29">
        <f t="shared" si="49"/>
        <v>12.5</v>
      </c>
      <c r="G228" s="29">
        <f t="shared" si="49"/>
        <v>5</v>
      </c>
      <c r="H228" s="29">
        <f t="shared" si="49"/>
        <v>1.25</v>
      </c>
      <c r="I228" s="29">
        <f t="shared" si="49"/>
        <v>8.75</v>
      </c>
      <c r="J228" s="29">
        <f t="shared" si="49"/>
        <v>31.25</v>
      </c>
      <c r="K228" s="72">
        <f t="shared" si="49"/>
        <v>7.5</v>
      </c>
    </row>
    <row r="229" spans="1:11" ht="18.75" customHeight="1">
      <c r="A229" s="150"/>
      <c r="B229" s="14" t="s">
        <v>87</v>
      </c>
      <c r="C229" s="16">
        <v>1657</v>
      </c>
      <c r="D229" s="16">
        <v>19</v>
      </c>
      <c r="E229" s="16">
        <v>425</v>
      </c>
      <c r="F229" s="16">
        <v>181</v>
      </c>
      <c r="G229" s="16">
        <v>79</v>
      </c>
      <c r="H229" s="16">
        <v>32</v>
      </c>
      <c r="I229" s="16">
        <v>180</v>
      </c>
      <c r="J229" s="16">
        <v>707</v>
      </c>
      <c r="K229" s="73">
        <v>34</v>
      </c>
    </row>
    <row r="230" spans="1:11" ht="18.75" customHeight="1">
      <c r="A230" s="151"/>
      <c r="B230" s="5" t="s">
        <v>78</v>
      </c>
      <c r="C230" s="1">
        <f>SUM(D230:K230)</f>
        <v>100</v>
      </c>
      <c r="D230" s="1">
        <f>D229/1657*100</f>
        <v>1.1466505733252867</v>
      </c>
      <c r="E230" s="1">
        <f aca="true" t="shared" si="50" ref="E230:K230">E229/1657*100</f>
        <v>25.64876282438141</v>
      </c>
      <c r="F230" s="1">
        <f t="shared" si="50"/>
        <v>10.92335546167773</v>
      </c>
      <c r="G230" s="1">
        <f t="shared" si="50"/>
        <v>4.767652383826191</v>
      </c>
      <c r="H230" s="1">
        <f t="shared" si="50"/>
        <v>1.931200965600483</v>
      </c>
      <c r="I230" s="1">
        <f t="shared" si="50"/>
        <v>10.863005431502716</v>
      </c>
      <c r="J230" s="1">
        <f t="shared" si="50"/>
        <v>42.66747133373567</v>
      </c>
      <c r="K230" s="75">
        <f t="shared" si="50"/>
        <v>2.051901025950513</v>
      </c>
    </row>
    <row r="231" spans="1:11" ht="18.75" customHeight="1">
      <c r="A231" s="149" t="s">
        <v>106</v>
      </c>
      <c r="B231" s="30" t="s">
        <v>86</v>
      </c>
      <c r="C231" s="31">
        <v>98</v>
      </c>
      <c r="D231" s="31">
        <v>4</v>
      </c>
      <c r="E231" s="31">
        <v>21</v>
      </c>
      <c r="F231" s="31">
        <v>6</v>
      </c>
      <c r="G231" s="31">
        <v>5</v>
      </c>
      <c r="H231" s="31">
        <v>0</v>
      </c>
      <c r="I231" s="31">
        <v>13</v>
      </c>
      <c r="J231" s="31">
        <v>42</v>
      </c>
      <c r="K231" s="76">
        <v>7</v>
      </c>
    </row>
    <row r="232" spans="1:11" ht="18.75" customHeight="1">
      <c r="A232" s="150"/>
      <c r="B232" s="32" t="s">
        <v>59</v>
      </c>
      <c r="C232" s="29">
        <v>100</v>
      </c>
      <c r="D232" s="29">
        <v>4.081632653061225</v>
      </c>
      <c r="E232" s="29">
        <v>21.428571428571427</v>
      </c>
      <c r="F232" s="29">
        <v>6.122448979591836</v>
      </c>
      <c r="G232" s="29">
        <v>5.1020408163265305</v>
      </c>
      <c r="H232" s="29">
        <v>0</v>
      </c>
      <c r="I232" s="29">
        <v>13.26530612244898</v>
      </c>
      <c r="J232" s="29">
        <v>42.857142857142854</v>
      </c>
      <c r="K232" s="72">
        <v>7.142857142857142</v>
      </c>
    </row>
    <row r="233" spans="1:11" ht="18.75" customHeight="1">
      <c r="A233" s="150"/>
      <c r="B233" s="14" t="s">
        <v>87</v>
      </c>
      <c r="C233" s="16">
        <v>1790</v>
      </c>
      <c r="D233" s="16">
        <v>35</v>
      </c>
      <c r="E233" s="16">
        <v>474</v>
      </c>
      <c r="F233" s="16">
        <v>192</v>
      </c>
      <c r="G233" s="16">
        <v>79</v>
      </c>
      <c r="H233" s="16">
        <v>36</v>
      </c>
      <c r="I233" s="16">
        <v>222</v>
      </c>
      <c r="J233" s="16">
        <v>720</v>
      </c>
      <c r="K233" s="73">
        <v>32</v>
      </c>
    </row>
    <row r="234" spans="1:11" ht="18.75" customHeight="1">
      <c r="A234" s="151"/>
      <c r="B234" s="5" t="s">
        <v>78</v>
      </c>
      <c r="C234" s="1">
        <v>100</v>
      </c>
      <c r="D234" s="1">
        <v>1.9553072625698324</v>
      </c>
      <c r="E234" s="1">
        <v>26.480446927374302</v>
      </c>
      <c r="F234" s="1">
        <v>10.726256983240223</v>
      </c>
      <c r="G234" s="1">
        <v>4.41340782122905</v>
      </c>
      <c r="H234" s="1">
        <v>2.011173184357542</v>
      </c>
      <c r="I234" s="1">
        <v>12.402234636871508</v>
      </c>
      <c r="J234" s="1">
        <v>40.22346368715084</v>
      </c>
      <c r="K234" s="75">
        <v>1.7877094972067038</v>
      </c>
    </row>
    <row r="235" spans="1:12" ht="18.75" customHeight="1">
      <c r="A235" s="149" t="s">
        <v>120</v>
      </c>
      <c r="B235" s="30" t="s">
        <v>86</v>
      </c>
      <c r="C235" s="26">
        <v>101</v>
      </c>
      <c r="D235" s="100">
        <v>0</v>
      </c>
      <c r="E235" s="101">
        <v>25</v>
      </c>
      <c r="F235" s="100">
        <v>30</v>
      </c>
      <c r="G235" s="26">
        <v>4</v>
      </c>
      <c r="H235" s="102">
        <v>3</v>
      </c>
      <c r="I235" s="100">
        <v>8</v>
      </c>
      <c r="J235" s="26">
        <v>26</v>
      </c>
      <c r="K235" s="103">
        <v>5</v>
      </c>
      <c r="L235" s="6"/>
    </row>
    <row r="236" spans="1:11" ht="18.75" customHeight="1">
      <c r="A236" s="150"/>
      <c r="B236" s="32" t="s">
        <v>59</v>
      </c>
      <c r="C236" s="29">
        <v>100</v>
      </c>
      <c r="D236" s="104">
        <v>0</v>
      </c>
      <c r="E236" s="29">
        <v>24.7</v>
      </c>
      <c r="F236" s="29">
        <f aca="true" t="shared" si="51" ref="F236:K236">F235/101*100</f>
        <v>29.7029702970297</v>
      </c>
      <c r="G236" s="29">
        <f t="shared" si="51"/>
        <v>3.9603960396039604</v>
      </c>
      <c r="H236" s="29">
        <f t="shared" si="51"/>
        <v>2.9702970297029703</v>
      </c>
      <c r="I236" s="29">
        <f t="shared" si="51"/>
        <v>7.920792079207921</v>
      </c>
      <c r="J236" s="29">
        <f t="shared" si="51"/>
        <v>25.742574257425744</v>
      </c>
      <c r="K236" s="99">
        <f t="shared" si="51"/>
        <v>4.9504950495049505</v>
      </c>
    </row>
    <row r="237" spans="1:12" ht="18.75" customHeight="1">
      <c r="A237" s="150"/>
      <c r="B237" s="14" t="s">
        <v>87</v>
      </c>
      <c r="C237" s="16">
        <v>1773</v>
      </c>
      <c r="D237" s="16">
        <v>25</v>
      </c>
      <c r="E237" s="16">
        <v>452</v>
      </c>
      <c r="F237" s="16">
        <v>195</v>
      </c>
      <c r="G237" s="16">
        <v>85</v>
      </c>
      <c r="H237" s="16">
        <v>28</v>
      </c>
      <c r="I237" s="16">
        <v>194</v>
      </c>
      <c r="J237" s="16">
        <v>766</v>
      </c>
      <c r="K237" s="73">
        <v>28</v>
      </c>
      <c r="L237" s="6"/>
    </row>
    <row r="238" spans="1:11" ht="18.75" customHeight="1">
      <c r="A238" s="150"/>
      <c r="B238" s="46" t="s">
        <v>78</v>
      </c>
      <c r="C238" s="47">
        <v>100</v>
      </c>
      <c r="D238" s="112">
        <f>D237/1773*100</f>
        <v>1.410039481105471</v>
      </c>
      <c r="E238" s="112">
        <f aca="true" t="shared" si="52" ref="E238:K238">E237/1773*100</f>
        <v>25.493513818386916</v>
      </c>
      <c r="F238" s="112">
        <f t="shared" si="52"/>
        <v>10.998307952622675</v>
      </c>
      <c r="G238" s="112">
        <f t="shared" si="52"/>
        <v>4.794134235758602</v>
      </c>
      <c r="H238" s="112">
        <f t="shared" si="52"/>
        <v>1.5792442188381277</v>
      </c>
      <c r="I238" s="112">
        <f t="shared" si="52"/>
        <v>10.941906373378455</v>
      </c>
      <c r="J238" s="112">
        <f t="shared" si="52"/>
        <v>43.203609701071635</v>
      </c>
      <c r="K238" s="74">
        <f t="shared" si="52"/>
        <v>1.5792442188381277</v>
      </c>
    </row>
    <row r="239" spans="1:11" ht="18.75" customHeight="1">
      <c r="A239" s="149" t="s">
        <v>127</v>
      </c>
      <c r="B239" s="24" t="s">
        <v>86</v>
      </c>
      <c r="C239" s="26">
        <v>72</v>
      </c>
      <c r="D239" s="100">
        <v>1</v>
      </c>
      <c r="E239" s="101">
        <v>22</v>
      </c>
      <c r="F239" s="100">
        <v>9</v>
      </c>
      <c r="G239" s="26">
        <v>6</v>
      </c>
      <c r="H239" s="102">
        <v>0</v>
      </c>
      <c r="I239" s="100">
        <v>9</v>
      </c>
      <c r="J239" s="26">
        <v>22</v>
      </c>
      <c r="K239" s="130">
        <v>3</v>
      </c>
    </row>
    <row r="240" spans="1:11" ht="18.75" customHeight="1">
      <c r="A240" s="150"/>
      <c r="B240" s="32" t="s">
        <v>59</v>
      </c>
      <c r="C240" s="29">
        <v>100</v>
      </c>
      <c r="D240" s="104">
        <f>D239/72*100</f>
        <v>1.3888888888888888</v>
      </c>
      <c r="E240" s="104">
        <f aca="true" t="shared" si="53" ref="E240:K240">E239/72*100</f>
        <v>30.555555555555557</v>
      </c>
      <c r="F240" s="104">
        <f t="shared" si="53"/>
        <v>12.5</v>
      </c>
      <c r="G240" s="104">
        <f t="shared" si="53"/>
        <v>8.333333333333332</v>
      </c>
      <c r="H240" s="104">
        <f t="shared" si="53"/>
        <v>0</v>
      </c>
      <c r="I240" s="104">
        <f t="shared" si="53"/>
        <v>12.5</v>
      </c>
      <c r="J240" s="104">
        <f t="shared" si="53"/>
        <v>30.555555555555557</v>
      </c>
      <c r="K240" s="72">
        <f t="shared" si="53"/>
        <v>4.166666666666666</v>
      </c>
    </row>
    <row r="241" spans="1:11" ht="18.75" customHeight="1">
      <c r="A241" s="150"/>
      <c r="B241" s="14" t="s">
        <v>87</v>
      </c>
      <c r="C241" s="16">
        <v>1659</v>
      </c>
      <c r="D241" s="16">
        <v>13</v>
      </c>
      <c r="E241" s="16">
        <v>440</v>
      </c>
      <c r="F241" s="16">
        <v>161</v>
      </c>
      <c r="G241" s="16">
        <v>69</v>
      </c>
      <c r="H241" s="16">
        <v>44</v>
      </c>
      <c r="I241" s="16">
        <v>178</v>
      </c>
      <c r="J241" s="16">
        <v>725</v>
      </c>
      <c r="K241" s="73">
        <v>29</v>
      </c>
    </row>
    <row r="242" spans="1:11" ht="18.75" customHeight="1">
      <c r="A242" s="151"/>
      <c r="B242" s="5" t="s">
        <v>78</v>
      </c>
      <c r="C242" s="1">
        <v>100</v>
      </c>
      <c r="D242" s="124">
        <f>D241/1659*100</f>
        <v>0.7836045810729355</v>
      </c>
      <c r="E242" s="124">
        <f aca="true" t="shared" si="54" ref="E242:K242">E241/1659*100</f>
        <v>26.522001205545507</v>
      </c>
      <c r="F242" s="124">
        <f t="shared" si="54"/>
        <v>9.70464135021097</v>
      </c>
      <c r="G242" s="124">
        <f t="shared" si="54"/>
        <v>4.159132007233273</v>
      </c>
      <c r="H242" s="124">
        <f t="shared" si="54"/>
        <v>2.652200120554551</v>
      </c>
      <c r="I242" s="124">
        <f t="shared" si="54"/>
        <v>10.729355033152501</v>
      </c>
      <c r="J242" s="124">
        <f t="shared" si="54"/>
        <v>43.70102471368294</v>
      </c>
      <c r="K242" s="75">
        <f t="shared" si="54"/>
        <v>1.7480409885473176</v>
      </c>
    </row>
    <row r="243" spans="1:11" ht="18.75" customHeight="1">
      <c r="A243" s="150" t="s">
        <v>128</v>
      </c>
      <c r="B243" s="30" t="s">
        <v>86</v>
      </c>
      <c r="C243" s="31">
        <v>92</v>
      </c>
      <c r="D243" s="126">
        <v>0</v>
      </c>
      <c r="E243" s="127">
        <v>25</v>
      </c>
      <c r="F243" s="126">
        <v>10</v>
      </c>
      <c r="G243" s="31">
        <v>5</v>
      </c>
      <c r="H243" s="131">
        <v>0</v>
      </c>
      <c r="I243" s="126">
        <v>19</v>
      </c>
      <c r="J243" s="31">
        <v>32</v>
      </c>
      <c r="K243" s="132">
        <v>1</v>
      </c>
    </row>
    <row r="244" spans="1:11" ht="18.75" customHeight="1">
      <c r="A244" s="150"/>
      <c r="B244" s="32" t="s">
        <v>59</v>
      </c>
      <c r="C244" s="29">
        <v>100</v>
      </c>
      <c r="D244" s="104">
        <f>D243/92*100</f>
        <v>0</v>
      </c>
      <c r="E244" s="104">
        <f aca="true" t="shared" si="55" ref="E244:K244">E243/92*100</f>
        <v>27.173913043478258</v>
      </c>
      <c r="F244" s="104">
        <f t="shared" si="55"/>
        <v>10.869565217391305</v>
      </c>
      <c r="G244" s="104">
        <f t="shared" si="55"/>
        <v>5.434782608695652</v>
      </c>
      <c r="H244" s="104">
        <f t="shared" si="55"/>
        <v>0</v>
      </c>
      <c r="I244" s="104">
        <f t="shared" si="55"/>
        <v>20.652173913043477</v>
      </c>
      <c r="J244" s="104">
        <f t="shared" si="55"/>
        <v>34.78260869565217</v>
      </c>
      <c r="K244" s="72">
        <f t="shared" si="55"/>
        <v>1.0869565217391304</v>
      </c>
    </row>
    <row r="245" spans="1:11" ht="18.75" customHeight="1">
      <c r="A245" s="150"/>
      <c r="B245" s="14" t="s">
        <v>87</v>
      </c>
      <c r="C245" s="16">
        <v>1741</v>
      </c>
      <c r="D245" s="16">
        <v>14</v>
      </c>
      <c r="E245" s="16">
        <v>405</v>
      </c>
      <c r="F245" s="16">
        <v>196</v>
      </c>
      <c r="G245" s="16">
        <v>85</v>
      </c>
      <c r="H245" s="16">
        <v>21</v>
      </c>
      <c r="I245" s="16">
        <v>218</v>
      </c>
      <c r="J245" s="16">
        <v>778</v>
      </c>
      <c r="K245" s="73">
        <v>24</v>
      </c>
    </row>
    <row r="246" spans="1:11" ht="18.75" customHeight="1">
      <c r="A246" s="150"/>
      <c r="B246" s="46" t="s">
        <v>78</v>
      </c>
      <c r="C246" s="47">
        <v>100</v>
      </c>
      <c r="D246" s="112">
        <f>D245/1741*100</f>
        <v>0.80413555427915</v>
      </c>
      <c r="E246" s="112">
        <f aca="true" t="shared" si="56" ref="E246:K246">E245/1741*100</f>
        <v>23.262492820218263</v>
      </c>
      <c r="F246" s="112">
        <f t="shared" si="56"/>
        <v>11.257897759908099</v>
      </c>
      <c r="G246" s="112">
        <f t="shared" si="56"/>
        <v>4.882251579551982</v>
      </c>
      <c r="H246" s="112">
        <f t="shared" si="56"/>
        <v>1.2062033314187248</v>
      </c>
      <c r="I246" s="112">
        <f t="shared" si="56"/>
        <v>12.521539345203905</v>
      </c>
      <c r="J246" s="112">
        <f t="shared" si="56"/>
        <v>44.6869615163699</v>
      </c>
      <c r="K246" s="74">
        <f t="shared" si="56"/>
        <v>1.3785180930499714</v>
      </c>
    </row>
    <row r="247" spans="1:11" ht="18.75" customHeight="1">
      <c r="A247" s="149" t="s">
        <v>130</v>
      </c>
      <c r="B247" s="24" t="s">
        <v>86</v>
      </c>
      <c r="C247" s="26">
        <v>98</v>
      </c>
      <c r="D247" s="100">
        <v>1</v>
      </c>
      <c r="E247" s="101">
        <v>20</v>
      </c>
      <c r="F247" s="100">
        <v>10</v>
      </c>
      <c r="G247" s="26">
        <v>3</v>
      </c>
      <c r="H247" s="102">
        <v>3</v>
      </c>
      <c r="I247" s="100">
        <v>10</v>
      </c>
      <c r="J247" s="26">
        <v>46</v>
      </c>
      <c r="K247" s="130">
        <v>5</v>
      </c>
    </row>
    <row r="248" spans="1:11" ht="18.75" customHeight="1">
      <c r="A248" s="150"/>
      <c r="B248" s="32" t="s">
        <v>59</v>
      </c>
      <c r="C248" s="29">
        <v>100</v>
      </c>
      <c r="D248" s="104">
        <f>D247/98*100</f>
        <v>1.0204081632653061</v>
      </c>
      <c r="E248" s="104">
        <f aca="true" t="shared" si="57" ref="E248:K248">E247/98*100</f>
        <v>20.408163265306122</v>
      </c>
      <c r="F248" s="104">
        <f t="shared" si="57"/>
        <v>10.204081632653061</v>
      </c>
      <c r="G248" s="104">
        <f t="shared" si="57"/>
        <v>3.061224489795918</v>
      </c>
      <c r="H248" s="104">
        <f t="shared" si="57"/>
        <v>3.061224489795918</v>
      </c>
      <c r="I248" s="104">
        <f t="shared" si="57"/>
        <v>10.204081632653061</v>
      </c>
      <c r="J248" s="104">
        <f t="shared" si="57"/>
        <v>46.93877551020408</v>
      </c>
      <c r="K248" s="99">
        <f t="shared" si="57"/>
        <v>5.1020408163265305</v>
      </c>
    </row>
    <row r="249" spans="1:11" ht="18.75" customHeight="1">
      <c r="A249" s="150"/>
      <c r="B249" s="14" t="s">
        <v>87</v>
      </c>
      <c r="C249" s="16">
        <v>1736</v>
      </c>
      <c r="D249" s="16">
        <v>19</v>
      </c>
      <c r="E249" s="16">
        <v>394</v>
      </c>
      <c r="F249" s="16">
        <v>189</v>
      </c>
      <c r="G249" s="16">
        <v>95</v>
      </c>
      <c r="H249" s="16">
        <v>44</v>
      </c>
      <c r="I249" s="16">
        <v>190</v>
      </c>
      <c r="J249" s="16">
        <v>782</v>
      </c>
      <c r="K249" s="73">
        <v>23</v>
      </c>
    </row>
    <row r="250" spans="1:11" ht="18.75" customHeight="1" thickBot="1">
      <c r="A250" s="173"/>
      <c r="B250" s="48" t="s">
        <v>78</v>
      </c>
      <c r="C250" s="45">
        <v>100</v>
      </c>
      <c r="D250" s="105">
        <f>D249/1736*100</f>
        <v>1.0944700460829493</v>
      </c>
      <c r="E250" s="105">
        <f aca="true" t="shared" si="58" ref="E250:K250">E249/1736*100</f>
        <v>22.69585253456221</v>
      </c>
      <c r="F250" s="105">
        <f t="shared" si="58"/>
        <v>10.887096774193548</v>
      </c>
      <c r="G250" s="105">
        <f t="shared" si="58"/>
        <v>5.472350230414746</v>
      </c>
      <c r="H250" s="105">
        <f t="shared" si="58"/>
        <v>2.5345622119815667</v>
      </c>
      <c r="I250" s="105">
        <f t="shared" si="58"/>
        <v>10.944700460829493</v>
      </c>
      <c r="J250" s="105">
        <f t="shared" si="58"/>
        <v>45.046082949308754</v>
      </c>
      <c r="K250" s="98">
        <f t="shared" si="58"/>
        <v>1.3248847926267282</v>
      </c>
    </row>
    <row r="251" spans="1:11" ht="18.75" customHeight="1">
      <c r="A251" s="149" t="s">
        <v>132</v>
      </c>
      <c r="B251" s="24" t="s">
        <v>86</v>
      </c>
      <c r="C251" s="26">
        <f>SUM(D251:K251)</f>
        <v>102</v>
      </c>
      <c r="D251" s="100">
        <v>1</v>
      </c>
      <c r="E251" s="101">
        <v>17</v>
      </c>
      <c r="F251" s="100">
        <v>15</v>
      </c>
      <c r="G251" s="26">
        <v>8</v>
      </c>
      <c r="H251" s="102">
        <v>2</v>
      </c>
      <c r="I251" s="100">
        <v>12</v>
      </c>
      <c r="J251" s="26">
        <v>42</v>
      </c>
      <c r="K251" s="130">
        <v>5</v>
      </c>
    </row>
    <row r="252" spans="1:11" ht="18.75" customHeight="1">
      <c r="A252" s="150"/>
      <c r="B252" s="32" t="s">
        <v>59</v>
      </c>
      <c r="C252" s="29">
        <v>100</v>
      </c>
      <c r="D252" s="104">
        <f>D251/98*100</f>
        <v>1.0204081632653061</v>
      </c>
      <c r="E252" s="104">
        <f aca="true" t="shared" si="59" ref="E252:K252">E251/98*100</f>
        <v>17.346938775510203</v>
      </c>
      <c r="F252" s="104">
        <f t="shared" si="59"/>
        <v>15.306122448979592</v>
      </c>
      <c r="G252" s="104">
        <f t="shared" si="59"/>
        <v>8.16326530612245</v>
      </c>
      <c r="H252" s="104">
        <f t="shared" si="59"/>
        <v>2.0408163265306123</v>
      </c>
      <c r="I252" s="104">
        <f t="shared" si="59"/>
        <v>12.244897959183673</v>
      </c>
      <c r="J252" s="104">
        <f t="shared" si="59"/>
        <v>42.857142857142854</v>
      </c>
      <c r="K252" s="99">
        <f t="shared" si="59"/>
        <v>5.1020408163265305</v>
      </c>
    </row>
    <row r="253" spans="1:11" ht="18.75" customHeight="1">
      <c r="A253" s="150"/>
      <c r="B253" s="14" t="s">
        <v>87</v>
      </c>
      <c r="C253" s="16">
        <f>SUM(D253:K253)</f>
        <v>1812</v>
      </c>
      <c r="D253" s="16">
        <v>18</v>
      </c>
      <c r="E253" s="16">
        <v>415</v>
      </c>
      <c r="F253" s="16">
        <v>194</v>
      </c>
      <c r="G253" s="16">
        <v>106</v>
      </c>
      <c r="H253" s="16">
        <v>34</v>
      </c>
      <c r="I253" s="16">
        <v>215</v>
      </c>
      <c r="J253" s="16">
        <v>803</v>
      </c>
      <c r="K253" s="73">
        <v>27</v>
      </c>
    </row>
    <row r="254" spans="1:11" ht="18.75" customHeight="1" thickBot="1">
      <c r="A254" s="173"/>
      <c r="B254" s="48" t="s">
        <v>78</v>
      </c>
      <c r="C254" s="45">
        <v>100</v>
      </c>
      <c r="D254" s="105">
        <f>D253/1736*100</f>
        <v>1.0368663594470047</v>
      </c>
      <c r="E254" s="105">
        <f aca="true" t="shared" si="60" ref="E254:K254">E253/1736*100</f>
        <v>23.90552995391705</v>
      </c>
      <c r="F254" s="105">
        <f t="shared" si="60"/>
        <v>11.175115207373272</v>
      </c>
      <c r="G254" s="105">
        <f t="shared" si="60"/>
        <v>6.105990783410138</v>
      </c>
      <c r="H254" s="105">
        <f t="shared" si="60"/>
        <v>1.9585253456221197</v>
      </c>
      <c r="I254" s="105">
        <f t="shared" si="60"/>
        <v>12.38479262672811</v>
      </c>
      <c r="J254" s="105">
        <f t="shared" si="60"/>
        <v>46.255760368663594</v>
      </c>
      <c r="K254" s="98">
        <f t="shared" si="60"/>
        <v>1.555299539170507</v>
      </c>
    </row>
    <row r="255" spans="3:11" ht="19.5" customHeight="1"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11" s="2" customFormat="1" ht="18.75" customHeight="1" thickBot="1">
      <c r="A256" s="154" t="s">
        <v>68</v>
      </c>
      <c r="B256" s="154"/>
      <c r="C256" s="154"/>
      <c r="D256" s="3"/>
      <c r="E256" s="3"/>
      <c r="F256" s="3"/>
      <c r="G256" s="4" t="s">
        <v>91</v>
      </c>
      <c r="H256" s="3"/>
      <c r="I256" s="3"/>
      <c r="J256" s="3"/>
      <c r="K256" s="3"/>
    </row>
    <row r="257" spans="1:11" s="2" customFormat="1" ht="18.75" customHeight="1">
      <c r="A257" s="162" t="s">
        <v>100</v>
      </c>
      <c r="B257" s="163"/>
      <c r="C257" s="157" t="s">
        <v>54</v>
      </c>
      <c r="D257" s="160"/>
      <c r="E257" s="160"/>
      <c r="F257" s="160"/>
      <c r="G257" s="161"/>
      <c r="H257" s="3"/>
      <c r="I257" s="3"/>
      <c r="J257" s="3"/>
      <c r="K257" s="3"/>
    </row>
    <row r="258" spans="1:7" ht="18.75" customHeight="1">
      <c r="A258" s="164"/>
      <c r="B258" s="165"/>
      <c r="C258" s="158"/>
      <c r="D258" s="158" t="s">
        <v>69</v>
      </c>
      <c r="E258" s="158" t="s">
        <v>79</v>
      </c>
      <c r="F258" s="158" t="s">
        <v>70</v>
      </c>
      <c r="G258" s="155" t="s">
        <v>71</v>
      </c>
    </row>
    <row r="259" spans="1:7" ht="18.75" customHeight="1">
      <c r="A259" s="84"/>
      <c r="B259" s="51" t="s">
        <v>92</v>
      </c>
      <c r="C259" s="159"/>
      <c r="D259" s="159"/>
      <c r="E259" s="159"/>
      <c r="F259" s="159"/>
      <c r="G259" s="156"/>
    </row>
    <row r="260" spans="1:7" s="2" customFormat="1" ht="18.75" customHeight="1">
      <c r="A260" s="149" t="s">
        <v>84</v>
      </c>
      <c r="B260" s="30" t="s">
        <v>86</v>
      </c>
      <c r="C260" s="31">
        <v>114</v>
      </c>
      <c r="D260" s="31">
        <v>9</v>
      </c>
      <c r="E260" s="31">
        <v>24</v>
      </c>
      <c r="F260" s="31">
        <v>81</v>
      </c>
      <c r="G260" s="76">
        <v>0</v>
      </c>
    </row>
    <row r="261" spans="1:7" s="2" customFormat="1" ht="18.75" customHeight="1">
      <c r="A261" s="150"/>
      <c r="B261" s="32" t="s">
        <v>80</v>
      </c>
      <c r="C261" s="29">
        <f>C260/114*100</f>
        <v>100</v>
      </c>
      <c r="D261" s="29">
        <f>D260/114*100</f>
        <v>7.894736842105263</v>
      </c>
      <c r="E261" s="29">
        <f>E260/114*100</f>
        <v>21.052631578947366</v>
      </c>
      <c r="F261" s="29">
        <f>F260/114*100</f>
        <v>71.05263157894737</v>
      </c>
      <c r="G261" s="72">
        <f>G260/114*100</f>
        <v>0</v>
      </c>
    </row>
    <row r="262" spans="1:7" ht="18.75" customHeight="1">
      <c r="A262" s="150"/>
      <c r="B262" s="14" t="s">
        <v>87</v>
      </c>
      <c r="C262" s="16">
        <v>1500</v>
      </c>
      <c r="D262" s="16">
        <v>147</v>
      </c>
      <c r="E262" s="16">
        <v>353</v>
      </c>
      <c r="F262" s="16">
        <v>935</v>
      </c>
      <c r="G262" s="73">
        <v>65</v>
      </c>
    </row>
    <row r="263" spans="1:7" ht="18.75" customHeight="1">
      <c r="A263" s="151"/>
      <c r="B263" s="5" t="s">
        <v>80</v>
      </c>
      <c r="C263" s="1">
        <f>C262/1500*100</f>
        <v>100</v>
      </c>
      <c r="D263" s="1">
        <f>D262/1500*100</f>
        <v>9.8</v>
      </c>
      <c r="E263" s="1">
        <f>E262/1500*100</f>
        <v>23.533333333333335</v>
      </c>
      <c r="F263" s="1">
        <f>F262/1500*100</f>
        <v>62.33333333333333</v>
      </c>
      <c r="G263" s="75">
        <f>G262/1500*100</f>
        <v>4.333333333333334</v>
      </c>
    </row>
    <row r="264" spans="1:11" ht="18.75" customHeight="1">
      <c r="A264" s="149" t="s">
        <v>85</v>
      </c>
      <c r="B264" s="30" t="s">
        <v>86</v>
      </c>
      <c r="C264" s="31">
        <v>82</v>
      </c>
      <c r="D264" s="31">
        <v>8</v>
      </c>
      <c r="E264" s="31">
        <v>20</v>
      </c>
      <c r="F264" s="31">
        <v>53</v>
      </c>
      <c r="G264" s="76">
        <v>1</v>
      </c>
      <c r="H264" s="2"/>
      <c r="I264" s="2"/>
      <c r="J264" s="2"/>
      <c r="K264" s="2"/>
    </row>
    <row r="265" spans="1:11" ht="18.75" customHeight="1">
      <c r="A265" s="150"/>
      <c r="B265" s="32" t="s">
        <v>80</v>
      </c>
      <c r="C265" s="29">
        <f>C264/82*100</f>
        <v>100</v>
      </c>
      <c r="D265" s="29">
        <f>D264/82*100</f>
        <v>9.75609756097561</v>
      </c>
      <c r="E265" s="29">
        <f>E264/82*100</f>
        <v>24.390243902439025</v>
      </c>
      <c r="F265" s="29">
        <f>F264/82*100</f>
        <v>64.63414634146342</v>
      </c>
      <c r="G265" s="72">
        <f>G264/82*100</f>
        <v>1.2195121951219512</v>
      </c>
      <c r="H265" s="2"/>
      <c r="I265" s="2"/>
      <c r="J265" s="2"/>
      <c r="K265" s="2"/>
    </row>
    <row r="266" spans="1:7" ht="18.75" customHeight="1">
      <c r="A266" s="150"/>
      <c r="B266" s="14" t="s">
        <v>87</v>
      </c>
      <c r="C266" s="16">
        <v>1424</v>
      </c>
      <c r="D266" s="16">
        <v>148</v>
      </c>
      <c r="E266" s="16">
        <v>306</v>
      </c>
      <c r="F266" s="16">
        <v>917</v>
      </c>
      <c r="G266" s="73">
        <v>53</v>
      </c>
    </row>
    <row r="267" spans="1:7" ht="18.75" customHeight="1">
      <c r="A267" s="151"/>
      <c r="B267" s="5" t="s">
        <v>80</v>
      </c>
      <c r="C267" s="1">
        <f>C266/1424*100</f>
        <v>100</v>
      </c>
      <c r="D267" s="1">
        <f>D266/1424*100</f>
        <v>10.393258426966293</v>
      </c>
      <c r="E267" s="1">
        <f>E266/1424*100</f>
        <v>21.48876404494382</v>
      </c>
      <c r="F267" s="1">
        <f>F266/1424*100</f>
        <v>64.39606741573034</v>
      </c>
      <c r="G267" s="75">
        <f>G266/1424*100</f>
        <v>3.721910112359551</v>
      </c>
    </row>
    <row r="268" spans="1:7" ht="18.75" customHeight="1">
      <c r="A268" s="149" t="s">
        <v>104</v>
      </c>
      <c r="B268" s="30" t="s">
        <v>86</v>
      </c>
      <c r="C268" s="31">
        <v>127</v>
      </c>
      <c r="D268" s="31">
        <v>9</v>
      </c>
      <c r="E268" s="31">
        <v>26</v>
      </c>
      <c r="F268" s="31">
        <v>89</v>
      </c>
      <c r="G268" s="76">
        <v>3</v>
      </c>
    </row>
    <row r="269" spans="1:7" ht="18.75" customHeight="1">
      <c r="A269" s="150"/>
      <c r="B269" s="32" t="s">
        <v>80</v>
      </c>
      <c r="C269" s="29">
        <f>SUM(D269:G269)</f>
        <v>100</v>
      </c>
      <c r="D269" s="29">
        <f>D268/127*100</f>
        <v>7.086614173228346</v>
      </c>
      <c r="E269" s="29">
        <f>E268/127*100</f>
        <v>20.47244094488189</v>
      </c>
      <c r="F269" s="29">
        <f>F268/127*100</f>
        <v>70.07874015748031</v>
      </c>
      <c r="G269" s="72">
        <f>G268/127*100</f>
        <v>2.3622047244094486</v>
      </c>
    </row>
    <row r="270" spans="1:7" ht="18.75" customHeight="1">
      <c r="A270" s="150"/>
      <c r="B270" s="14" t="s">
        <v>87</v>
      </c>
      <c r="C270" s="16">
        <v>1386</v>
      </c>
      <c r="D270" s="16">
        <v>138</v>
      </c>
      <c r="E270" s="16">
        <v>318</v>
      </c>
      <c r="F270" s="16">
        <v>872</v>
      </c>
      <c r="G270" s="73">
        <v>58</v>
      </c>
    </row>
    <row r="271" spans="1:11" s="2" customFormat="1" ht="18.75" customHeight="1">
      <c r="A271" s="151"/>
      <c r="B271" s="5" t="s">
        <v>80</v>
      </c>
      <c r="C271" s="64">
        <f>SUM(D271:G271)</f>
        <v>100.00000000000001</v>
      </c>
      <c r="D271" s="1">
        <f>D270/1386*100</f>
        <v>9.956709956709958</v>
      </c>
      <c r="E271" s="1">
        <f>E270/1386*100</f>
        <v>22.943722943722943</v>
      </c>
      <c r="F271" s="1">
        <f>F270/1386*100</f>
        <v>62.914862914862915</v>
      </c>
      <c r="G271" s="75">
        <f>G270/1386*100</f>
        <v>4.184704184704184</v>
      </c>
      <c r="H271" s="3"/>
      <c r="I271" s="3"/>
      <c r="J271" s="3"/>
      <c r="K271" s="3"/>
    </row>
    <row r="272" spans="1:11" s="2" customFormat="1" ht="18.75" customHeight="1">
      <c r="A272" s="149" t="s">
        <v>105</v>
      </c>
      <c r="B272" s="30" t="s">
        <v>86</v>
      </c>
      <c r="C272" s="31">
        <v>105</v>
      </c>
      <c r="D272" s="31">
        <v>10</v>
      </c>
      <c r="E272" s="31">
        <v>29</v>
      </c>
      <c r="F272" s="31">
        <v>62</v>
      </c>
      <c r="G272" s="76">
        <v>4</v>
      </c>
      <c r="H272" s="3"/>
      <c r="I272" s="3"/>
      <c r="J272" s="3"/>
      <c r="K272" s="3"/>
    </row>
    <row r="273" spans="1:7" ht="18.75" customHeight="1">
      <c r="A273" s="150"/>
      <c r="B273" s="32" t="s">
        <v>80</v>
      </c>
      <c r="C273" s="29">
        <v>100.00000000000001</v>
      </c>
      <c r="D273" s="29">
        <v>9.523809523809524</v>
      </c>
      <c r="E273" s="29">
        <v>27.61904761904762</v>
      </c>
      <c r="F273" s="29">
        <v>59.04761904761905</v>
      </c>
      <c r="G273" s="72">
        <v>3.8095238095238098</v>
      </c>
    </row>
    <row r="274" spans="1:7" ht="18.75" customHeight="1">
      <c r="A274" s="150"/>
      <c r="B274" s="14" t="s">
        <v>87</v>
      </c>
      <c r="C274" s="16">
        <v>1369</v>
      </c>
      <c r="D274" s="16">
        <v>143</v>
      </c>
      <c r="E274" s="16">
        <v>354</v>
      </c>
      <c r="F274" s="16">
        <v>825</v>
      </c>
      <c r="G274" s="73">
        <v>47</v>
      </c>
    </row>
    <row r="275" spans="1:7" s="2" customFormat="1" ht="18.75" customHeight="1">
      <c r="A275" s="151"/>
      <c r="B275" s="5" t="s">
        <v>80</v>
      </c>
      <c r="C275" s="1">
        <v>99.99999999999999</v>
      </c>
      <c r="D275" s="1">
        <v>10.445580715850985</v>
      </c>
      <c r="E275" s="1">
        <v>25.858290723155587</v>
      </c>
      <c r="F275" s="1">
        <v>60.26296566837107</v>
      </c>
      <c r="G275" s="75">
        <v>3.433162892622352</v>
      </c>
    </row>
    <row r="276" spans="1:8" s="2" customFormat="1" ht="18.75" customHeight="1">
      <c r="A276" s="149" t="s">
        <v>120</v>
      </c>
      <c r="B276" s="30" t="s">
        <v>86</v>
      </c>
      <c r="C276" s="26">
        <v>92</v>
      </c>
      <c r="D276" s="100">
        <v>9</v>
      </c>
      <c r="E276" s="101">
        <v>25</v>
      </c>
      <c r="F276" s="100">
        <v>57</v>
      </c>
      <c r="G276" s="71">
        <v>1</v>
      </c>
      <c r="H276" s="87"/>
    </row>
    <row r="277" spans="1:8" s="2" customFormat="1" ht="18.75" customHeight="1">
      <c r="A277" s="150"/>
      <c r="B277" s="32" t="s">
        <v>80</v>
      </c>
      <c r="C277" s="29">
        <v>100</v>
      </c>
      <c r="D277" s="106">
        <f>D276/92*100</f>
        <v>9.782608695652174</v>
      </c>
      <c r="E277" s="106">
        <v>27.1</v>
      </c>
      <c r="F277" s="106">
        <f>F276/92*100</f>
        <v>61.95652173913043</v>
      </c>
      <c r="G277" s="99">
        <f>G276/92*100</f>
        <v>1.0869565217391304</v>
      </c>
      <c r="H277" s="88"/>
    </row>
    <row r="278" spans="1:8" s="2" customFormat="1" ht="18.75" customHeight="1">
      <c r="A278" s="150"/>
      <c r="B278" s="14" t="s">
        <v>87</v>
      </c>
      <c r="C278" s="16">
        <v>1376</v>
      </c>
      <c r="D278" s="16">
        <v>147</v>
      </c>
      <c r="E278" s="16">
        <v>344</v>
      </c>
      <c r="F278" s="16">
        <v>857</v>
      </c>
      <c r="G278" s="73">
        <v>28</v>
      </c>
      <c r="H278" s="89"/>
    </row>
    <row r="279" spans="1:8" s="2" customFormat="1" ht="18.75" customHeight="1">
      <c r="A279" s="150"/>
      <c r="B279" s="46" t="s">
        <v>80</v>
      </c>
      <c r="C279" s="47">
        <v>100</v>
      </c>
      <c r="D279" s="112">
        <f>D278/1376*100</f>
        <v>10.68313953488372</v>
      </c>
      <c r="E279" s="112">
        <f>E278/1376*100</f>
        <v>25</v>
      </c>
      <c r="F279" s="112">
        <f>F278/1376*100</f>
        <v>62.28197674418605</v>
      </c>
      <c r="G279" s="74">
        <f>G278/1376*100</f>
        <v>2.0348837209302326</v>
      </c>
      <c r="H279" s="77"/>
    </row>
    <row r="280" spans="1:8" s="2" customFormat="1" ht="18.75" customHeight="1">
      <c r="A280" s="149" t="s">
        <v>127</v>
      </c>
      <c r="B280" s="24" t="s">
        <v>86</v>
      </c>
      <c r="C280" s="26">
        <v>69</v>
      </c>
      <c r="D280" s="100">
        <v>3</v>
      </c>
      <c r="E280" s="101">
        <v>16</v>
      </c>
      <c r="F280" s="100">
        <v>49</v>
      </c>
      <c r="G280" s="71">
        <v>1</v>
      </c>
      <c r="H280" s="77"/>
    </row>
    <row r="281" spans="1:8" s="2" customFormat="1" ht="18.75" customHeight="1">
      <c r="A281" s="150"/>
      <c r="B281" s="32" t="s">
        <v>80</v>
      </c>
      <c r="C281" s="29">
        <v>100</v>
      </c>
      <c r="D281" s="106">
        <f>D280/69*100</f>
        <v>4.3478260869565215</v>
      </c>
      <c r="E281" s="106">
        <f>E280/69*100</f>
        <v>23.18840579710145</v>
      </c>
      <c r="F281" s="106">
        <f>F280/69*100</f>
        <v>71.01449275362319</v>
      </c>
      <c r="G281" s="99">
        <f>G280/69*100</f>
        <v>1.4492753623188406</v>
      </c>
      <c r="H281" s="77"/>
    </row>
    <row r="282" spans="1:8" s="2" customFormat="1" ht="18.75" customHeight="1">
      <c r="A282" s="150"/>
      <c r="B282" s="14" t="s">
        <v>87</v>
      </c>
      <c r="C282" s="16">
        <v>1280</v>
      </c>
      <c r="D282" s="16">
        <v>119</v>
      </c>
      <c r="E282" s="16">
        <v>319</v>
      </c>
      <c r="F282" s="16">
        <v>820</v>
      </c>
      <c r="G282" s="73">
        <v>22</v>
      </c>
      <c r="H282" s="77"/>
    </row>
    <row r="283" spans="1:8" s="2" customFormat="1" ht="18.75" customHeight="1">
      <c r="A283" s="151"/>
      <c r="B283" s="5" t="s">
        <v>80</v>
      </c>
      <c r="C283" s="1">
        <v>100</v>
      </c>
      <c r="D283" s="124">
        <f>D282/1280*100</f>
        <v>9.296875</v>
      </c>
      <c r="E283" s="124">
        <f>E282/1280*100</f>
        <v>24.921875</v>
      </c>
      <c r="F283" s="124">
        <f>F282/1280*100</f>
        <v>64.0625</v>
      </c>
      <c r="G283" s="75">
        <f>G282/1280*100</f>
        <v>1.7187500000000002</v>
      </c>
      <c r="H283" s="77"/>
    </row>
    <row r="284" spans="1:8" s="2" customFormat="1" ht="18.75" customHeight="1">
      <c r="A284" s="150" t="s">
        <v>128</v>
      </c>
      <c r="B284" s="30" t="s">
        <v>86</v>
      </c>
      <c r="C284" s="31">
        <v>73</v>
      </c>
      <c r="D284" s="126">
        <v>8</v>
      </c>
      <c r="E284" s="127">
        <v>14</v>
      </c>
      <c r="F284" s="126">
        <v>51</v>
      </c>
      <c r="G284" s="76">
        <v>0</v>
      </c>
      <c r="H284" s="77"/>
    </row>
    <row r="285" spans="1:8" s="2" customFormat="1" ht="18.75" customHeight="1">
      <c r="A285" s="150"/>
      <c r="B285" s="32" t="s">
        <v>80</v>
      </c>
      <c r="C285" s="29">
        <v>100</v>
      </c>
      <c r="D285" s="106">
        <f>D284/73*100</f>
        <v>10.95890410958904</v>
      </c>
      <c r="E285" s="106">
        <f>E284/73*100</f>
        <v>19.17808219178082</v>
      </c>
      <c r="F285" s="106">
        <f>F284/73*100</f>
        <v>69.86301369863014</v>
      </c>
      <c r="G285" s="99">
        <f>G284/73*100</f>
        <v>0</v>
      </c>
      <c r="H285" s="77"/>
    </row>
    <row r="286" spans="1:8" s="2" customFormat="1" ht="18.75" customHeight="1">
      <c r="A286" s="150"/>
      <c r="B286" s="14" t="s">
        <v>87</v>
      </c>
      <c r="C286" s="16">
        <v>1238</v>
      </c>
      <c r="D286" s="16">
        <v>131</v>
      </c>
      <c r="E286" s="16">
        <v>319</v>
      </c>
      <c r="F286" s="16">
        <v>744</v>
      </c>
      <c r="G286" s="73">
        <v>44</v>
      </c>
      <c r="H286" s="77"/>
    </row>
    <row r="287" spans="1:8" s="2" customFormat="1" ht="18.75" customHeight="1">
      <c r="A287" s="150"/>
      <c r="B287" s="46" t="s">
        <v>80</v>
      </c>
      <c r="C287" s="47">
        <v>100</v>
      </c>
      <c r="D287" s="112">
        <f>D286/1238*100</f>
        <v>10.581583198707593</v>
      </c>
      <c r="E287" s="112">
        <f>E286/1238*100</f>
        <v>25.767366720516964</v>
      </c>
      <c r="F287" s="112">
        <f>F286/1238*100</f>
        <v>60.096930533117934</v>
      </c>
      <c r="G287" s="74">
        <f>G286/1238*100</f>
        <v>3.5541195476575123</v>
      </c>
      <c r="H287" s="77"/>
    </row>
    <row r="288" spans="1:8" s="2" customFormat="1" ht="18.75" customHeight="1">
      <c r="A288" s="149" t="s">
        <v>130</v>
      </c>
      <c r="B288" s="24" t="s">
        <v>86</v>
      </c>
      <c r="C288" s="26">
        <v>76</v>
      </c>
      <c r="D288" s="100">
        <v>8</v>
      </c>
      <c r="E288" s="101">
        <v>25</v>
      </c>
      <c r="F288" s="100">
        <v>42</v>
      </c>
      <c r="G288" s="71">
        <v>1</v>
      </c>
      <c r="H288" s="77"/>
    </row>
    <row r="289" spans="1:8" s="2" customFormat="1" ht="18.75" customHeight="1">
      <c r="A289" s="150"/>
      <c r="B289" s="32" t="s">
        <v>80</v>
      </c>
      <c r="C289" s="29">
        <v>100</v>
      </c>
      <c r="D289" s="106">
        <f>D288/76*100</f>
        <v>10.526315789473683</v>
      </c>
      <c r="E289" s="106">
        <f>E288/76*100</f>
        <v>32.89473684210527</v>
      </c>
      <c r="F289" s="106">
        <f>F288/76*100</f>
        <v>55.26315789473685</v>
      </c>
      <c r="G289" s="99">
        <f>G288/76*100</f>
        <v>1.3157894736842104</v>
      </c>
      <c r="H289" s="77"/>
    </row>
    <row r="290" spans="1:8" s="2" customFormat="1" ht="18.75" customHeight="1">
      <c r="A290" s="150"/>
      <c r="B290" s="14" t="s">
        <v>87</v>
      </c>
      <c r="C290" s="16">
        <v>1229</v>
      </c>
      <c r="D290" s="16">
        <v>151</v>
      </c>
      <c r="E290" s="16">
        <v>328</v>
      </c>
      <c r="F290" s="16">
        <v>713</v>
      </c>
      <c r="G290" s="73">
        <v>37</v>
      </c>
      <c r="H290" s="77"/>
    </row>
    <row r="291" spans="1:8" s="2" customFormat="1" ht="18.75" customHeight="1" thickBot="1">
      <c r="A291" s="173"/>
      <c r="B291" s="48" t="s">
        <v>80</v>
      </c>
      <c r="C291" s="45">
        <v>100</v>
      </c>
      <c r="D291" s="105">
        <f>D290/1229*100</f>
        <v>12.286411716842961</v>
      </c>
      <c r="E291" s="105">
        <f>E290/1229*100</f>
        <v>26.688364524003255</v>
      </c>
      <c r="F291" s="105">
        <f>F290/1229*100</f>
        <v>58.0146460537022</v>
      </c>
      <c r="G291" s="98">
        <f>G290/1229*100</f>
        <v>3.010577705451587</v>
      </c>
      <c r="H291" s="77"/>
    </row>
    <row r="292" spans="1:8" s="2" customFormat="1" ht="18.75" customHeight="1">
      <c r="A292" s="149" t="s">
        <v>132</v>
      </c>
      <c r="B292" s="24" t="s">
        <v>86</v>
      </c>
      <c r="C292" s="26">
        <f>SUM(D292:G292)</f>
        <v>74</v>
      </c>
      <c r="D292" s="100">
        <v>10</v>
      </c>
      <c r="E292" s="101">
        <v>14</v>
      </c>
      <c r="F292" s="100">
        <v>48</v>
      </c>
      <c r="G292" s="71">
        <v>2</v>
      </c>
      <c r="H292" s="77"/>
    </row>
    <row r="293" spans="1:8" s="2" customFormat="1" ht="18.75" customHeight="1">
      <c r="A293" s="150"/>
      <c r="B293" s="32" t="s">
        <v>80</v>
      </c>
      <c r="C293" s="29">
        <v>100</v>
      </c>
      <c r="D293" s="106">
        <f>D292/76*100</f>
        <v>13.157894736842104</v>
      </c>
      <c r="E293" s="106">
        <f>E292/76*100</f>
        <v>18.421052631578945</v>
      </c>
      <c r="F293" s="106">
        <f>F292/76*100</f>
        <v>63.1578947368421</v>
      </c>
      <c r="G293" s="99">
        <f>G292/76*100</f>
        <v>2.631578947368421</v>
      </c>
      <c r="H293" s="77"/>
    </row>
    <row r="294" spans="1:8" s="2" customFormat="1" ht="18.75" customHeight="1">
      <c r="A294" s="150"/>
      <c r="B294" s="14" t="s">
        <v>87</v>
      </c>
      <c r="C294" s="16">
        <f>SUM(D294:G294)</f>
        <v>1194</v>
      </c>
      <c r="D294" s="16">
        <v>155</v>
      </c>
      <c r="E294" s="16">
        <v>280</v>
      </c>
      <c r="F294" s="16">
        <v>729</v>
      </c>
      <c r="G294" s="73">
        <v>30</v>
      </c>
      <c r="H294" s="77"/>
    </row>
    <row r="295" spans="1:8" s="2" customFormat="1" ht="18.75" customHeight="1" thickBot="1">
      <c r="A295" s="173"/>
      <c r="B295" s="48" t="s">
        <v>80</v>
      </c>
      <c r="C295" s="45">
        <v>100</v>
      </c>
      <c r="D295" s="105">
        <f>D294/1229*100</f>
        <v>12.611879576891782</v>
      </c>
      <c r="E295" s="105">
        <f>E294/1229*100</f>
        <v>22.78275020341741</v>
      </c>
      <c r="F295" s="105">
        <f>F294/1229*100</f>
        <v>59.31651749389748</v>
      </c>
      <c r="G295" s="98">
        <f>G294/1229*100</f>
        <v>2.4410089503661516</v>
      </c>
      <c r="H295" s="77"/>
    </row>
    <row r="296" spans="1:8" s="2" customFormat="1" ht="18.75" customHeight="1">
      <c r="A296" s="78"/>
      <c r="B296" s="66"/>
      <c r="C296" s="77"/>
      <c r="D296" s="77"/>
      <c r="E296" s="77"/>
      <c r="F296" s="77"/>
      <c r="G296" s="77"/>
      <c r="H296" s="77"/>
    </row>
    <row r="297" spans="1:8" s="2" customFormat="1" ht="18.75" customHeight="1">
      <c r="A297" s="78"/>
      <c r="B297" s="66"/>
      <c r="C297" s="77"/>
      <c r="D297" s="77"/>
      <c r="E297" s="77"/>
      <c r="F297" s="77"/>
      <c r="G297" s="77"/>
      <c r="H297" s="77"/>
    </row>
    <row r="298" spans="1:8" s="2" customFormat="1" ht="18.75" customHeight="1">
      <c r="A298" s="78"/>
      <c r="B298" s="66"/>
      <c r="C298" s="77"/>
      <c r="D298" s="77"/>
      <c r="E298" s="77"/>
      <c r="F298" s="77"/>
      <c r="G298" s="77"/>
      <c r="H298" s="77"/>
    </row>
    <row r="299" spans="1:8" s="2" customFormat="1" ht="18.75" customHeight="1">
      <c r="A299" s="78"/>
      <c r="B299" s="66"/>
      <c r="C299" s="77"/>
      <c r="D299" s="77"/>
      <c r="E299" s="77"/>
      <c r="F299" s="77"/>
      <c r="G299" s="77"/>
      <c r="H299" s="77"/>
    </row>
    <row r="300" spans="1:8" s="2" customFormat="1" ht="18.75" customHeight="1">
      <c r="A300" s="78"/>
      <c r="B300" s="66"/>
      <c r="C300" s="77"/>
      <c r="D300" s="77"/>
      <c r="E300" s="77"/>
      <c r="F300" s="77"/>
      <c r="G300" s="77"/>
      <c r="H300" s="77"/>
    </row>
    <row r="301" spans="1:8" s="2" customFormat="1" ht="18.75" customHeight="1">
      <c r="A301" s="78"/>
      <c r="B301" s="66"/>
      <c r="C301" s="77"/>
      <c r="D301" s="77"/>
      <c r="E301" s="77"/>
      <c r="F301" s="77"/>
      <c r="G301" s="77"/>
      <c r="H301" s="77"/>
    </row>
    <row r="302" spans="1:8" s="2" customFormat="1" ht="18.75" customHeight="1">
      <c r="A302" s="78"/>
      <c r="B302" s="66"/>
      <c r="C302" s="77"/>
      <c r="D302" s="77"/>
      <c r="E302" s="77"/>
      <c r="F302" s="77"/>
      <c r="G302" s="77"/>
      <c r="H302" s="77"/>
    </row>
    <row r="303" spans="1:8" s="2" customFormat="1" ht="18.75" customHeight="1">
      <c r="A303" s="78"/>
      <c r="B303" s="66"/>
      <c r="C303" s="77"/>
      <c r="D303" s="77"/>
      <c r="E303" s="77"/>
      <c r="F303" s="77"/>
      <c r="G303" s="77"/>
      <c r="H303" s="77"/>
    </row>
    <row r="304" spans="1:8" s="2" customFormat="1" ht="18.75" customHeight="1">
      <c r="A304" s="78"/>
      <c r="B304" s="66"/>
      <c r="C304" s="77"/>
      <c r="D304" s="77"/>
      <c r="E304" s="77"/>
      <c r="F304" s="77"/>
      <c r="G304" s="77"/>
      <c r="H304" s="77"/>
    </row>
    <row r="305" spans="1:8" s="2" customFormat="1" ht="18.75" customHeight="1">
      <c r="A305" s="78"/>
      <c r="B305" s="66"/>
      <c r="C305" s="77"/>
      <c r="D305" s="77"/>
      <c r="E305" s="77"/>
      <c r="F305" s="77"/>
      <c r="G305" s="77"/>
      <c r="H305" s="77"/>
    </row>
    <row r="306" spans="1:8" s="2" customFormat="1" ht="18.75" customHeight="1">
      <c r="A306" s="78"/>
      <c r="B306" s="66"/>
      <c r="C306" s="77"/>
      <c r="D306" s="77"/>
      <c r="E306" s="77"/>
      <c r="F306" s="77"/>
      <c r="G306" s="77"/>
      <c r="H306" s="77"/>
    </row>
    <row r="307" spans="1:8" s="2" customFormat="1" ht="18.75" customHeight="1">
      <c r="A307" s="78"/>
      <c r="B307" s="66"/>
      <c r="C307" s="77"/>
      <c r="D307" s="77"/>
      <c r="E307" s="77"/>
      <c r="F307" s="77"/>
      <c r="G307" s="77"/>
      <c r="H307" s="77"/>
    </row>
    <row r="308" spans="1:8" s="2" customFormat="1" ht="18.75" customHeight="1">
      <c r="A308" s="78"/>
      <c r="B308" s="66"/>
      <c r="C308" s="77"/>
      <c r="D308" s="77"/>
      <c r="E308" s="77"/>
      <c r="F308" s="77"/>
      <c r="G308" s="77"/>
      <c r="H308" s="77"/>
    </row>
    <row r="309" spans="1:8" s="2" customFormat="1" ht="18.75" customHeight="1">
      <c r="A309" s="78"/>
      <c r="B309" s="66"/>
      <c r="C309" s="77"/>
      <c r="D309" s="77"/>
      <c r="E309" s="77"/>
      <c r="F309" s="77"/>
      <c r="G309" s="77"/>
      <c r="H309" s="77"/>
    </row>
    <row r="310" spans="1:8" s="2" customFormat="1" ht="18.75" customHeight="1">
      <c r="A310" s="78"/>
      <c r="B310" s="66"/>
      <c r="C310" s="77"/>
      <c r="D310" s="77"/>
      <c r="E310" s="77"/>
      <c r="F310" s="77"/>
      <c r="G310" s="77"/>
      <c r="H310" s="77"/>
    </row>
    <row r="311" spans="1:5" ht="18.75" customHeight="1" thickBot="1">
      <c r="A311" s="154" t="s">
        <v>73</v>
      </c>
      <c r="B311" s="154"/>
      <c r="C311" s="4"/>
      <c r="E311" s="4" t="s">
        <v>91</v>
      </c>
    </row>
    <row r="312" spans="1:5" ht="27" customHeight="1">
      <c r="A312" s="152" t="s">
        <v>101</v>
      </c>
      <c r="B312" s="153"/>
      <c r="C312" s="79" t="s">
        <v>73</v>
      </c>
      <c r="D312" s="90" t="s">
        <v>75</v>
      </c>
      <c r="E312" s="91" t="s">
        <v>74</v>
      </c>
    </row>
    <row r="313" spans="1:11" ht="18.75" customHeight="1">
      <c r="A313" s="149" t="s">
        <v>84</v>
      </c>
      <c r="B313" s="38" t="s">
        <v>86</v>
      </c>
      <c r="C313" s="39">
        <v>21</v>
      </c>
      <c r="D313" s="40">
        <v>55892</v>
      </c>
      <c r="E313" s="92">
        <f>C313/D313*100000</f>
        <v>37.57246117512346</v>
      </c>
      <c r="F313" s="2"/>
      <c r="G313" s="2"/>
      <c r="H313" s="2"/>
      <c r="I313" s="2"/>
      <c r="J313" s="2"/>
      <c r="K313" s="2"/>
    </row>
    <row r="314" spans="1:11" ht="18.75" customHeight="1">
      <c r="A314" s="150"/>
      <c r="B314" s="35" t="s">
        <v>24</v>
      </c>
      <c r="C314" s="36">
        <f>C313/739*100</f>
        <v>2.841677943166441</v>
      </c>
      <c r="D314" s="37"/>
      <c r="E314" s="93"/>
      <c r="F314" s="2"/>
      <c r="G314" s="2"/>
      <c r="H314" s="2"/>
      <c r="I314" s="2"/>
      <c r="J314" s="2"/>
      <c r="K314" s="2"/>
    </row>
    <row r="315" spans="1:5" ht="18.75" customHeight="1">
      <c r="A315" s="150"/>
      <c r="B315" s="12" t="s">
        <v>87</v>
      </c>
      <c r="C315" s="17">
        <v>296</v>
      </c>
      <c r="D315" s="18">
        <v>1088130</v>
      </c>
      <c r="E315" s="94">
        <f>C315/D315*100000</f>
        <v>27.202632038451288</v>
      </c>
    </row>
    <row r="316" spans="1:5" ht="18.75" customHeight="1">
      <c r="A316" s="151"/>
      <c r="B316" s="9" t="s">
        <v>24</v>
      </c>
      <c r="C316" s="10">
        <f>C315/11635*100</f>
        <v>2.5440481306403093</v>
      </c>
      <c r="D316" s="11"/>
      <c r="E316" s="95"/>
    </row>
    <row r="317" spans="1:7" ht="18.75" customHeight="1">
      <c r="A317" s="149" t="s">
        <v>85</v>
      </c>
      <c r="B317" s="38" t="s">
        <v>86</v>
      </c>
      <c r="C317" s="39">
        <v>21</v>
      </c>
      <c r="D317" s="40">
        <v>55219</v>
      </c>
      <c r="E317" s="92">
        <f>C317/D317*100000</f>
        <v>38.03038809105561</v>
      </c>
      <c r="F317" s="2"/>
      <c r="G317" s="2"/>
    </row>
    <row r="318" spans="1:7" ht="18.75" customHeight="1">
      <c r="A318" s="150"/>
      <c r="B318" s="35" t="s">
        <v>24</v>
      </c>
      <c r="C318" s="36">
        <f>C317/701*100</f>
        <v>2.9957203994293864</v>
      </c>
      <c r="D318" s="37"/>
      <c r="E318" s="93"/>
      <c r="F318" s="2"/>
      <c r="G318" s="2"/>
    </row>
    <row r="319" spans="1:5" ht="18.75" customHeight="1">
      <c r="A319" s="150"/>
      <c r="B319" s="12" t="s">
        <v>87</v>
      </c>
      <c r="C319" s="17">
        <v>293</v>
      </c>
      <c r="D319" s="18">
        <v>1083070</v>
      </c>
      <c r="E319" s="94">
        <f>C319/D319*100000</f>
        <v>27.052729740459988</v>
      </c>
    </row>
    <row r="320" spans="1:5" ht="18.75" customHeight="1">
      <c r="A320" s="151"/>
      <c r="B320" s="13" t="s">
        <v>24</v>
      </c>
      <c r="C320" s="20">
        <f>C319/11480*100</f>
        <v>2.552264808362369</v>
      </c>
      <c r="D320" s="21"/>
      <c r="E320" s="96"/>
    </row>
    <row r="321" spans="1:5" ht="17.25" customHeight="1">
      <c r="A321" s="149" t="s">
        <v>102</v>
      </c>
      <c r="B321" s="38" t="s">
        <v>86</v>
      </c>
      <c r="C321" s="39">
        <v>14</v>
      </c>
      <c r="D321" s="40">
        <v>54724</v>
      </c>
      <c r="E321" s="92">
        <v>25.9</v>
      </c>
    </row>
    <row r="322" spans="1:5" ht="19.5" customHeight="1">
      <c r="A322" s="150"/>
      <c r="B322" s="35" t="s">
        <v>24</v>
      </c>
      <c r="C322" s="36">
        <f>C321/698*100</f>
        <v>2.005730659025788</v>
      </c>
      <c r="D322" s="37"/>
      <c r="E322" s="93"/>
    </row>
    <row r="323" spans="1:5" ht="15" customHeight="1">
      <c r="A323" s="150"/>
      <c r="B323" s="12" t="s">
        <v>87</v>
      </c>
      <c r="C323" s="17">
        <v>249</v>
      </c>
      <c r="D323" s="18">
        <v>1093247</v>
      </c>
      <c r="E323" s="94">
        <v>23</v>
      </c>
    </row>
    <row r="324" spans="1:5" ht="15" customHeight="1">
      <c r="A324" s="151"/>
      <c r="B324" s="13" t="s">
        <v>24</v>
      </c>
      <c r="C324" s="20">
        <f>C323/11875*100</f>
        <v>2.096842105263158</v>
      </c>
      <c r="D324" s="21"/>
      <c r="E324" s="96"/>
    </row>
    <row r="325" spans="1:5" ht="15" customHeight="1">
      <c r="A325" s="149" t="s">
        <v>103</v>
      </c>
      <c r="B325" s="38" t="s">
        <v>86</v>
      </c>
      <c r="C325" s="39">
        <v>12</v>
      </c>
      <c r="D325" s="40">
        <v>54000</v>
      </c>
      <c r="E325" s="92">
        <v>22.5</v>
      </c>
    </row>
    <row r="326" spans="1:5" ht="15" customHeight="1">
      <c r="A326" s="150"/>
      <c r="B326" s="35" t="s">
        <v>24</v>
      </c>
      <c r="C326" s="36">
        <v>1.6194331983805668</v>
      </c>
      <c r="D326" s="37"/>
      <c r="E326" s="93"/>
    </row>
    <row r="327" spans="1:5" ht="15" customHeight="1">
      <c r="A327" s="150"/>
      <c r="B327" s="12" t="s">
        <v>87</v>
      </c>
      <c r="C327" s="17">
        <v>271</v>
      </c>
      <c r="D327" s="18">
        <v>1088409</v>
      </c>
      <c r="E327" s="94">
        <v>25.2</v>
      </c>
    </row>
    <row r="328" spans="1:5" ht="15" customHeight="1">
      <c r="A328" s="151"/>
      <c r="B328" s="13" t="s">
        <v>24</v>
      </c>
      <c r="C328" s="20">
        <v>2.209719504240052</v>
      </c>
      <c r="D328" s="21"/>
      <c r="E328" s="96"/>
    </row>
    <row r="329" spans="1:5" ht="15" customHeight="1">
      <c r="A329" s="149" t="s">
        <v>120</v>
      </c>
      <c r="B329" s="38" t="s">
        <v>86</v>
      </c>
      <c r="C329" s="39">
        <v>12</v>
      </c>
      <c r="D329" s="40">
        <v>53412</v>
      </c>
      <c r="E329" s="92">
        <v>22.8</v>
      </c>
    </row>
    <row r="330" spans="1:5" ht="15" customHeight="1">
      <c r="A330" s="150"/>
      <c r="B330" s="35" t="s">
        <v>24</v>
      </c>
      <c r="C330" s="36">
        <v>1.7</v>
      </c>
      <c r="D330" s="37"/>
      <c r="E330" s="93"/>
    </row>
    <row r="331" spans="1:5" ht="15" customHeight="1">
      <c r="A331" s="150"/>
      <c r="B331" s="12" t="s">
        <v>87</v>
      </c>
      <c r="C331" s="17">
        <v>238</v>
      </c>
      <c r="D331" s="18">
        <v>1082763</v>
      </c>
      <c r="E331" s="94">
        <v>22.2</v>
      </c>
    </row>
    <row r="332" spans="1:5" ht="15" customHeight="1">
      <c r="A332" s="150"/>
      <c r="B332" s="113" t="s">
        <v>24</v>
      </c>
      <c r="C332" s="10">
        <v>1.9</v>
      </c>
      <c r="D332" s="11"/>
      <c r="E332" s="95"/>
    </row>
    <row r="333" spans="1:5" ht="15" customHeight="1">
      <c r="A333" s="149" t="s">
        <v>127</v>
      </c>
      <c r="B333" s="38" t="s">
        <v>86</v>
      </c>
      <c r="C333" s="39">
        <v>15</v>
      </c>
      <c r="D333" s="40">
        <v>52063</v>
      </c>
      <c r="E333" s="92">
        <v>28.8</v>
      </c>
    </row>
    <row r="334" spans="1:5" ht="15" customHeight="1">
      <c r="A334" s="150"/>
      <c r="B334" s="35" t="s">
        <v>24</v>
      </c>
      <c r="C334" s="36">
        <v>2.1</v>
      </c>
      <c r="D334" s="37"/>
      <c r="E334" s="93"/>
    </row>
    <row r="335" spans="1:5" ht="15" customHeight="1">
      <c r="A335" s="150"/>
      <c r="B335" s="12" t="s">
        <v>87</v>
      </c>
      <c r="C335" s="17">
        <v>241</v>
      </c>
      <c r="D335" s="18">
        <v>1062428</v>
      </c>
      <c r="E335" s="94">
        <v>22.6</v>
      </c>
    </row>
    <row r="336" spans="1:5" ht="15" customHeight="1">
      <c r="A336" s="151"/>
      <c r="B336" s="133" t="s">
        <v>24</v>
      </c>
      <c r="C336" s="20">
        <v>1.9</v>
      </c>
      <c r="D336" s="21"/>
      <c r="E336" s="96"/>
    </row>
    <row r="337" spans="1:5" ht="15" customHeight="1">
      <c r="A337" s="150" t="s">
        <v>128</v>
      </c>
      <c r="B337" s="134" t="s">
        <v>86</v>
      </c>
      <c r="C337" s="135">
        <v>13</v>
      </c>
      <c r="D337" s="136">
        <v>51444</v>
      </c>
      <c r="E337" s="137">
        <v>25.3</v>
      </c>
    </row>
    <row r="338" spans="1:5" ht="15" customHeight="1">
      <c r="A338" s="150"/>
      <c r="B338" s="35" t="s">
        <v>24</v>
      </c>
      <c r="C338" s="36">
        <v>1.8</v>
      </c>
      <c r="D338" s="37"/>
      <c r="E338" s="93"/>
    </row>
    <row r="339" spans="1:5" ht="15" customHeight="1">
      <c r="A339" s="150"/>
      <c r="B339" s="12" t="s">
        <v>87</v>
      </c>
      <c r="C339" s="17">
        <v>241</v>
      </c>
      <c r="D339" s="18">
        <v>1056307</v>
      </c>
      <c r="E339" s="94">
        <v>22.8</v>
      </c>
    </row>
    <row r="340" spans="1:5" ht="15" customHeight="1">
      <c r="A340" s="150"/>
      <c r="B340" s="113" t="s">
        <v>24</v>
      </c>
      <c r="C340" s="10">
        <v>1.9</v>
      </c>
      <c r="D340" s="11"/>
      <c r="E340" s="95"/>
    </row>
    <row r="341" spans="1:5" ht="15" customHeight="1">
      <c r="A341" s="149" t="s">
        <v>130</v>
      </c>
      <c r="B341" s="38" t="s">
        <v>86</v>
      </c>
      <c r="C341" s="39">
        <v>12</v>
      </c>
      <c r="D341" s="40">
        <v>50725</v>
      </c>
      <c r="E341" s="92">
        <v>23.7</v>
      </c>
    </row>
    <row r="342" spans="1:5" ht="15" customHeight="1">
      <c r="A342" s="150"/>
      <c r="B342" s="35" t="s">
        <v>24</v>
      </c>
      <c r="C342" s="36">
        <v>1.7</v>
      </c>
      <c r="D342" s="37"/>
      <c r="E342" s="93"/>
    </row>
    <row r="343" spans="1:5" ht="15" customHeight="1">
      <c r="A343" s="150"/>
      <c r="B343" s="12" t="s">
        <v>87</v>
      </c>
      <c r="C343" s="17">
        <v>216</v>
      </c>
      <c r="D343" s="18">
        <v>1055528</v>
      </c>
      <c r="E343" s="94">
        <v>20.5</v>
      </c>
    </row>
    <row r="344" spans="1:5" ht="15" customHeight="1">
      <c r="A344" s="151"/>
      <c r="B344" s="133" t="s">
        <v>24</v>
      </c>
      <c r="C344" s="20">
        <v>1.7</v>
      </c>
      <c r="D344" s="21"/>
      <c r="E344" s="96"/>
    </row>
    <row r="345" spans="1:5" ht="15" customHeight="1">
      <c r="A345" s="150" t="s">
        <v>132</v>
      </c>
      <c r="B345" s="134" t="s">
        <v>86</v>
      </c>
      <c r="C345" s="135">
        <v>11</v>
      </c>
      <c r="D345" s="195">
        <v>50660</v>
      </c>
      <c r="E345" s="196">
        <v>22</v>
      </c>
    </row>
    <row r="346" spans="1:5" ht="15" customHeight="1">
      <c r="A346" s="150"/>
      <c r="B346" s="35" t="s">
        <v>24</v>
      </c>
      <c r="C346" s="36">
        <v>1.5</v>
      </c>
      <c r="D346" s="37"/>
      <c r="E346" s="93"/>
    </row>
    <row r="347" spans="1:5" ht="15" customHeight="1">
      <c r="A347" s="150"/>
      <c r="B347" s="12" t="s">
        <v>87</v>
      </c>
      <c r="C347" s="17">
        <v>186</v>
      </c>
      <c r="D347" s="197">
        <v>1049000</v>
      </c>
      <c r="E347" s="198">
        <v>17.7</v>
      </c>
    </row>
    <row r="348" spans="1:5" ht="15" customHeight="1" thickBot="1">
      <c r="A348" s="173"/>
      <c r="B348" s="138" t="s">
        <v>24</v>
      </c>
      <c r="C348" s="194">
        <v>1.4</v>
      </c>
      <c r="D348" s="139"/>
      <c r="E348" s="140"/>
    </row>
    <row r="349" spans="1:5" ht="15" customHeight="1">
      <c r="A349" s="78"/>
      <c r="B349" s="66"/>
      <c r="C349" s="69"/>
      <c r="D349" s="68"/>
      <c r="E349" s="68"/>
    </row>
    <row r="350" spans="1:5" ht="15" customHeight="1">
      <c r="A350" s="78"/>
      <c r="B350" s="199" t="s">
        <v>134</v>
      </c>
      <c r="C350" s="69"/>
      <c r="D350" s="68"/>
      <c r="E350" s="68"/>
    </row>
    <row r="351" ht="15" customHeight="1">
      <c r="B351" s="3" t="s">
        <v>117</v>
      </c>
    </row>
  </sheetData>
  <sheetProtection/>
  <mergeCells count="166">
    <mergeCell ref="A82:A85"/>
    <mergeCell ref="A345:A348"/>
    <mergeCell ref="J119:J121"/>
    <mergeCell ref="G119:G121"/>
    <mergeCell ref="A138:A141"/>
    <mergeCell ref="A122:A125"/>
    <mergeCell ref="B161:B162"/>
    <mergeCell ref="A118:B119"/>
    <mergeCell ref="A288:A291"/>
    <mergeCell ref="A150:A153"/>
    <mergeCell ref="A142:A145"/>
    <mergeCell ref="A49:A52"/>
    <mergeCell ref="A74:A77"/>
    <mergeCell ref="A21:A24"/>
    <mergeCell ref="A78:A81"/>
    <mergeCell ref="A94:A97"/>
    <mergeCell ref="A53:A56"/>
    <mergeCell ref="A37:A40"/>
    <mergeCell ref="A86:A89"/>
    <mergeCell ref="A33:A36"/>
    <mergeCell ref="A45:A48"/>
    <mergeCell ref="A126:A129"/>
    <mergeCell ref="A146:A149"/>
    <mergeCell ref="A292:A295"/>
    <mergeCell ref="A90:A93"/>
    <mergeCell ref="A59:B60"/>
    <mergeCell ref="A192:A195"/>
    <mergeCell ref="A251:A254"/>
    <mergeCell ref="A134:A137"/>
    <mergeCell ref="A130:A133"/>
    <mergeCell ref="A20:B20"/>
    <mergeCell ref="A276:A279"/>
    <mergeCell ref="A154:A157"/>
    <mergeCell ref="I18:I20"/>
    <mergeCell ref="I119:I121"/>
    <mergeCell ref="A70:A73"/>
    <mergeCell ref="A117:D117"/>
    <mergeCell ref="A66:A69"/>
    <mergeCell ref="C59:C61"/>
    <mergeCell ref="A41:A44"/>
    <mergeCell ref="A6:B6"/>
    <mergeCell ref="A7:B7"/>
    <mergeCell ref="A8:B8"/>
    <mergeCell ref="A9:B9"/>
    <mergeCell ref="A11:B11"/>
    <mergeCell ref="A17:B18"/>
    <mergeCell ref="C2:D2"/>
    <mergeCell ref="A29:A32"/>
    <mergeCell ref="G18:G20"/>
    <mergeCell ref="H18:H20"/>
    <mergeCell ref="F18:F20"/>
    <mergeCell ref="A16:C16"/>
    <mergeCell ref="E2:E3"/>
    <mergeCell ref="D17:U17"/>
    <mergeCell ref="C17:C20"/>
    <mergeCell ref="A12:B12"/>
    <mergeCell ref="T18:T20"/>
    <mergeCell ref="U18:U20"/>
    <mergeCell ref="S18:S20"/>
    <mergeCell ref="Q18:Q20"/>
    <mergeCell ref="T119:T121"/>
    <mergeCell ref="O18:O20"/>
    <mergeCell ref="P18:P20"/>
    <mergeCell ref="R18:R20"/>
    <mergeCell ref="R119:R121"/>
    <mergeCell ref="J18:J20"/>
    <mergeCell ref="D18:D20"/>
    <mergeCell ref="E18:E20"/>
    <mergeCell ref="K18:K20"/>
    <mergeCell ref="F2:F3"/>
    <mergeCell ref="G2:G3"/>
    <mergeCell ref="H2:H3"/>
    <mergeCell ref="K2:K3"/>
    <mergeCell ref="J2:J3"/>
    <mergeCell ref="I2:I3"/>
    <mergeCell ref="L18:L20"/>
    <mergeCell ref="M18:M20"/>
    <mergeCell ref="N18:N20"/>
    <mergeCell ref="P119:P121"/>
    <mergeCell ref="Q119:Q121"/>
    <mergeCell ref="M2:M3"/>
    <mergeCell ref="L2:L3"/>
    <mergeCell ref="D59:E59"/>
    <mergeCell ref="D162:D163"/>
    <mergeCell ref="D118:X118"/>
    <mergeCell ref="D161:H161"/>
    <mergeCell ref="K119:K121"/>
    <mergeCell ref="U119:U121"/>
    <mergeCell ref="L119:L121"/>
    <mergeCell ref="M119:M121"/>
    <mergeCell ref="O119:O121"/>
    <mergeCell ref="S119:S121"/>
    <mergeCell ref="F162:F163"/>
    <mergeCell ref="G258:G259"/>
    <mergeCell ref="I217:I218"/>
    <mergeCell ref="H162:H163"/>
    <mergeCell ref="D60:D61"/>
    <mergeCell ref="E60:E61"/>
    <mergeCell ref="G162:G163"/>
    <mergeCell ref="E162:E163"/>
    <mergeCell ref="B216:B217"/>
    <mergeCell ref="A180:A183"/>
    <mergeCell ref="A256:C256"/>
    <mergeCell ref="A172:A175"/>
    <mergeCell ref="E258:E259"/>
    <mergeCell ref="A223:A226"/>
    <mergeCell ref="A196:A199"/>
    <mergeCell ref="D217:D218"/>
    <mergeCell ref="A247:A250"/>
    <mergeCell ref="C216:C218"/>
    <mergeCell ref="C257:C259"/>
    <mergeCell ref="D258:D259"/>
    <mergeCell ref="D216:K216"/>
    <mergeCell ref="J217:J218"/>
    <mergeCell ref="F258:F259"/>
    <mergeCell ref="H217:H218"/>
    <mergeCell ref="F217:F218"/>
    <mergeCell ref="V119:V121"/>
    <mergeCell ref="W119:W121"/>
    <mergeCell ref="X119:X121"/>
    <mergeCell ref="C118:C121"/>
    <mergeCell ref="H119:H121"/>
    <mergeCell ref="D119:D121"/>
    <mergeCell ref="E119:E121"/>
    <mergeCell ref="F119:F121"/>
    <mergeCell ref="N119:N121"/>
    <mergeCell ref="A227:A230"/>
    <mergeCell ref="A257:B258"/>
    <mergeCell ref="A231:A234"/>
    <mergeCell ref="A1:B1"/>
    <mergeCell ref="A4:B4"/>
    <mergeCell ref="A5:B5"/>
    <mergeCell ref="A10:B10"/>
    <mergeCell ref="A25:A28"/>
    <mergeCell ref="A62:A65"/>
    <mergeCell ref="A3:B3"/>
    <mergeCell ref="A243:A246"/>
    <mergeCell ref="A280:A283"/>
    <mergeCell ref="A284:A287"/>
    <mergeCell ref="K217:K218"/>
    <mergeCell ref="C161:C163"/>
    <mergeCell ref="A168:A171"/>
    <mergeCell ref="A176:A179"/>
    <mergeCell ref="D257:G257"/>
    <mergeCell ref="E217:E218"/>
    <mergeCell ref="G217:G218"/>
    <mergeCell ref="A325:A328"/>
    <mergeCell ref="A268:A271"/>
    <mergeCell ref="A272:A275"/>
    <mergeCell ref="A313:A316"/>
    <mergeCell ref="A317:A320"/>
    <mergeCell ref="A164:A167"/>
    <mergeCell ref="A311:B311"/>
    <mergeCell ref="A260:A263"/>
    <mergeCell ref="A264:A267"/>
    <mergeCell ref="A235:A238"/>
    <mergeCell ref="A341:A344"/>
    <mergeCell ref="A333:A336"/>
    <mergeCell ref="A337:A340"/>
    <mergeCell ref="A184:A187"/>
    <mergeCell ref="A188:A191"/>
    <mergeCell ref="A239:A242"/>
    <mergeCell ref="A312:B312"/>
    <mergeCell ref="A219:A222"/>
    <mergeCell ref="A329:A332"/>
    <mergeCell ref="A321:A324"/>
  </mergeCells>
  <dataValidations count="2">
    <dataValidation allowBlank="1" showInputMessage="1" showErrorMessage="1" imeMode="off" sqref="C265:G265 B247 B292 B253 B35 B294 B286 B284 B282 B280 B243 B245 B239 B241 B251 B276 B237 B235 C275:G275 B278 B233:C233 B231:K231 C230 B229:C229 B227:K227 D229:K230 D225:K226 C226 B274:G274 B272:G272 C273:G273 C269:G269 B268:G268 C228:K228 B270:G270 C267:G267 B221:K221 C224:K224 B225:C225 B223:K223 C220:K220 B219:K219 C222:K222 C271:G271 C232:K232 B266:G266 B262:G262 C263:G263 B260:G260 C261:G261 B264:G264 B182 B166:H166 C165:H165 B164:H164 C167:H167 C169:H169 B168:H168 B170:C170 B134 B124 B122 B128 B126 B178:C178 C173:H173 B66 C171 D170:H171 B174:C174 D174:H175 B172:H172 C175 C177:H177 B176:H176 B130 B132 B136 B140:C140 B138:C138 C122:C137 C139 B180 B88 B68 B78 B62 B80 B64 B76 B72 B70 B74 B84 B82 B86 B90 C141 C143 B144:C144"/>
    <dataValidation allowBlank="1" showInputMessage="1" showErrorMessage="1" imeMode="off" sqref="B142:C142 C145 C147 B148:C148 B146:C146 B184 B186 B188 B150:C150 B190 B194 B156:C156 B92 C149 C151 B152:C152 B196 B192 B290 C34:U36 C38:U40 B37:U37 B25:U25 B33:U33 B29:U29 D23:U24 C26:U28 B21:U21 C30:U32 B96 B41:U41 B45:U45 C46:U48 C42:U44 B49:U49 B51 B47 B43 B23 C22:C24 B27 B31 B39 C234:C255 D233:K255 B249 C276:H310 B288 D178:H214 AA164:IV214 C179:C214 B198 D122:X158 C153 C157:C158 B154:C154 C155 C62:E97 B94 C50:U52 B53:U53 B55 C54:U56"/>
  </dataValidations>
  <printOptions/>
  <pageMargins left="0" right="0" top="0" bottom="0.2" header="0.5118110236220472" footer="0"/>
  <pageSetup fitToHeight="2" horizontalDpi="600" verticalDpi="600" orientation="landscape" paperSize="9" scale="59" r:id="rId2"/>
  <headerFooter alignWithMargins="0">
    <oddFooter>&amp;C&amp;P/&amp;N</oddFooter>
  </headerFooter>
  <rowBreaks count="6" manualBreakCount="6">
    <brk id="56" max="255" man="1"/>
    <brk id="116" max="255" man="1"/>
    <brk id="159" max="255" man="1"/>
    <brk id="214" max="255" man="1"/>
    <brk id="255" max="255" man="1"/>
    <brk id="3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NANTO</cp:lastModifiedBy>
  <cp:lastPrinted>2018-09-27T07:21:05Z</cp:lastPrinted>
  <dcterms:created xsi:type="dcterms:W3CDTF">2007-02-23T04:55:12Z</dcterms:created>
  <dcterms:modified xsi:type="dcterms:W3CDTF">2018-10-05T05:20:18Z</dcterms:modified>
  <cp:category/>
  <cp:version/>
  <cp:contentType/>
  <cp:contentStatus/>
</cp:coreProperties>
</file>